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510" windowWidth="12645" windowHeight="6210"/>
  </bookViews>
  <sheets>
    <sheet name="Hoja1" sheetId="1" r:id="rId1"/>
    <sheet name="Gráfico2" sheetId="5" r:id="rId2"/>
    <sheet name="Gráfico1" sheetId="4" r:id="rId3"/>
    <sheet name="Hoja2" sheetId="2" r:id="rId4"/>
    <sheet name="Hoja3" sheetId="3" r:id="rId5"/>
  </sheets>
  <definedNames>
    <definedName name="_xlnm.Print_Area" localSheetId="0">Hoja1!$A$422:$Q$449</definedName>
    <definedName name="_xlnm.Print_Titles" localSheetId="0">Hoja1!$A:$A,Hoja1!$1:$4</definedName>
  </definedNames>
  <calcPr calcId="144525"/>
</workbook>
</file>

<file path=xl/calcChain.xml><?xml version="1.0" encoding="utf-8"?>
<calcChain xmlns="http://schemas.openxmlformats.org/spreadsheetml/2006/main">
  <c r="E717" i="1" l="1"/>
  <c r="P714" i="1" l="1"/>
  <c r="O714" i="1"/>
  <c r="P715" i="1"/>
  <c r="O715" i="1"/>
  <c r="P716" i="1"/>
  <c r="O716" i="1"/>
  <c r="P717" i="1"/>
  <c r="O717" i="1"/>
  <c r="Q717" i="1"/>
  <c r="L717" i="1"/>
  <c r="L716" i="1"/>
  <c r="L715" i="1"/>
  <c r="L714" i="1"/>
  <c r="N716" i="1"/>
  <c r="M717" i="1"/>
  <c r="M716" i="1"/>
  <c r="E716" i="1"/>
  <c r="M714" i="1" l="1"/>
  <c r="E714" i="1"/>
  <c r="E713" i="1"/>
  <c r="N715" i="1"/>
  <c r="M715" i="1"/>
  <c r="E715" i="1"/>
  <c r="N714" i="1"/>
  <c r="P713" i="1" l="1"/>
  <c r="O713" i="1"/>
  <c r="Q713" i="1"/>
  <c r="L713" i="1"/>
  <c r="N713" i="1"/>
  <c r="M713" i="1"/>
  <c r="L712" i="1" l="1"/>
  <c r="P712" i="1"/>
  <c r="O712" i="1"/>
  <c r="Q712" i="1"/>
  <c r="N712" i="1"/>
  <c r="M712" i="1"/>
  <c r="E712" i="1"/>
  <c r="P711" i="1" l="1"/>
  <c r="O711" i="1"/>
  <c r="Q711" i="1"/>
  <c r="L711" i="1" l="1"/>
  <c r="N711" i="1"/>
  <c r="M711" i="1"/>
  <c r="E711" i="1"/>
  <c r="P710" i="1" l="1"/>
  <c r="O710" i="1"/>
  <c r="Q710" i="1"/>
  <c r="L710" i="1" l="1"/>
  <c r="M710" i="1"/>
  <c r="E710" i="1"/>
  <c r="N710" i="1"/>
  <c r="P709" i="1" l="1"/>
  <c r="O709" i="1"/>
  <c r="Q709" i="1"/>
  <c r="E709" i="1" l="1"/>
  <c r="L709" i="1"/>
  <c r="N709" i="1"/>
  <c r="M709" i="1"/>
  <c r="P708" i="1" l="1"/>
  <c r="O708" i="1"/>
  <c r="Q708" i="1"/>
  <c r="L708" i="1" l="1"/>
  <c r="M708" i="1"/>
  <c r="E708" i="1"/>
  <c r="N708" i="1"/>
  <c r="P707" i="1" l="1"/>
  <c r="O707" i="1"/>
  <c r="Q707" i="1"/>
  <c r="L707" i="1" l="1"/>
  <c r="N707" i="1"/>
  <c r="M707" i="1"/>
  <c r="E707" i="1"/>
  <c r="P706" i="1" l="1"/>
  <c r="O706" i="1"/>
  <c r="Q706" i="1"/>
  <c r="E706" i="1" l="1"/>
  <c r="L706" i="1" l="1"/>
  <c r="N706" i="1"/>
  <c r="M706" i="1"/>
  <c r="P705" i="1"/>
  <c r="O705" i="1"/>
  <c r="Q705" i="1" l="1"/>
  <c r="L705" i="1" l="1"/>
  <c r="E705" i="1" l="1"/>
  <c r="N705" i="1"/>
  <c r="M705" i="1"/>
  <c r="P704" i="1" l="1"/>
  <c r="O704" i="1"/>
  <c r="Q704" i="1"/>
  <c r="L704" i="1"/>
  <c r="N704" i="1"/>
  <c r="M704" i="1"/>
  <c r="E704" i="1"/>
  <c r="M703" i="1" l="1"/>
  <c r="E703" i="1"/>
  <c r="N703" i="1"/>
  <c r="L703" i="1"/>
  <c r="P703" i="1"/>
  <c r="O703" i="1"/>
  <c r="Q703" i="1"/>
  <c r="P702" i="1" l="1"/>
  <c r="O702" i="1"/>
  <c r="N702" i="1"/>
  <c r="M702" i="1"/>
  <c r="E702" i="1"/>
  <c r="E701" i="1"/>
  <c r="Q702" i="1"/>
  <c r="L702" i="1" l="1"/>
  <c r="M701" i="1" l="1"/>
  <c r="L701" i="1"/>
  <c r="Q701" i="1"/>
  <c r="P701" i="1"/>
  <c r="O701" i="1"/>
  <c r="N701" i="1"/>
  <c r="L700" i="1" l="1"/>
  <c r="N700" i="1"/>
  <c r="M700" i="1"/>
  <c r="Q700" i="1"/>
  <c r="P700" i="1"/>
  <c r="O700" i="1"/>
  <c r="E700" i="1"/>
  <c r="L699" i="1" l="1"/>
  <c r="Q699" i="1" l="1"/>
  <c r="P699" i="1"/>
  <c r="O699" i="1"/>
  <c r="M699" i="1"/>
  <c r="M698" i="1"/>
  <c r="M697" i="1"/>
  <c r="E699" i="1"/>
  <c r="N699" i="1"/>
  <c r="P698" i="1" l="1"/>
  <c r="O698" i="1"/>
  <c r="Q698" i="1"/>
  <c r="L698" i="1" l="1"/>
  <c r="E698" i="1"/>
  <c r="N698" i="1"/>
  <c r="Q697" i="1" l="1"/>
  <c r="P697" i="1"/>
  <c r="O697" i="1"/>
  <c r="L697" i="1" l="1"/>
  <c r="N697" i="1"/>
  <c r="E697" i="1"/>
  <c r="P696" i="1" l="1"/>
  <c r="O696" i="1"/>
  <c r="Q696" i="1" l="1"/>
  <c r="L696" i="1" l="1"/>
  <c r="E696" i="1"/>
  <c r="N696" i="1"/>
  <c r="M696" i="1"/>
  <c r="P695" i="1" l="1"/>
  <c r="O695" i="1"/>
  <c r="Q695" i="1"/>
  <c r="L695" i="1" l="1"/>
  <c r="N695" i="1"/>
  <c r="M695" i="1"/>
  <c r="E695" i="1"/>
  <c r="E694" i="1"/>
  <c r="P694" i="1" l="1"/>
  <c r="O694" i="1"/>
  <c r="Q694" i="1"/>
  <c r="L694" i="1" l="1"/>
  <c r="N694" i="1"/>
  <c r="M694" i="1"/>
  <c r="Q693" i="1" l="1"/>
  <c r="P693" i="1" l="1"/>
  <c r="O693" i="1"/>
  <c r="L692" i="1" l="1"/>
  <c r="L693" i="1"/>
  <c r="N693" i="1"/>
  <c r="M693" i="1"/>
  <c r="E693" i="1"/>
  <c r="P691" i="1" l="1"/>
  <c r="O691" i="1"/>
  <c r="Q691" i="1"/>
  <c r="L691" i="1" l="1"/>
  <c r="N691" i="1"/>
  <c r="M691" i="1"/>
  <c r="E691" i="1"/>
  <c r="N690" i="1" l="1"/>
  <c r="M690" i="1"/>
  <c r="L690" i="1" l="1"/>
  <c r="P690" i="1"/>
  <c r="O690" i="1"/>
  <c r="Q690" i="1"/>
  <c r="E690" i="1"/>
  <c r="P689" i="1" l="1"/>
  <c r="O689" i="1"/>
  <c r="Q689" i="1"/>
  <c r="M689" i="1"/>
  <c r="L689" i="1"/>
  <c r="E689" i="1"/>
  <c r="N689" i="1" l="1"/>
  <c r="P688" i="1" l="1"/>
  <c r="O688" i="1"/>
  <c r="Q688" i="1"/>
  <c r="L688" i="1" l="1"/>
  <c r="N688" i="1"/>
  <c r="M688" i="1"/>
  <c r="E688" i="1"/>
  <c r="Q687" i="1" l="1"/>
  <c r="P687" i="1"/>
  <c r="O687" i="1"/>
  <c r="L687" i="1" l="1"/>
  <c r="N687" i="1"/>
  <c r="M686" i="1"/>
  <c r="M687" i="1"/>
  <c r="E687" i="1"/>
  <c r="P686" i="1" l="1"/>
  <c r="O686" i="1"/>
  <c r="Q686" i="1"/>
  <c r="L686" i="1" l="1"/>
  <c r="N686" i="1"/>
  <c r="E686" i="1"/>
  <c r="P685" i="1" l="1"/>
  <c r="O685" i="1"/>
  <c r="Q685" i="1"/>
  <c r="L685" i="1" l="1"/>
  <c r="N685" i="1"/>
  <c r="M685" i="1"/>
  <c r="E685" i="1"/>
  <c r="P684" i="1" l="1"/>
  <c r="O684" i="1"/>
  <c r="Q684" i="1"/>
  <c r="L684" i="1" l="1"/>
  <c r="E684" i="1"/>
  <c r="N684" i="1"/>
  <c r="M684" i="1"/>
  <c r="Q683" i="1" l="1"/>
  <c r="L683" i="1" l="1"/>
  <c r="N683" i="1"/>
  <c r="M683" i="1"/>
  <c r="E683" i="1"/>
  <c r="Q682" i="1" l="1"/>
  <c r="L682" i="1" l="1"/>
  <c r="M682" i="1"/>
  <c r="E682" i="1"/>
  <c r="N682" i="1"/>
  <c r="L681" i="1" l="1"/>
  <c r="L680" i="1"/>
  <c r="N681" i="1"/>
  <c r="N680" i="1"/>
  <c r="M681" i="1"/>
  <c r="M680" i="1"/>
  <c r="E681" i="1"/>
  <c r="E680" i="1"/>
  <c r="P679" i="1" l="1"/>
  <c r="O679" i="1"/>
  <c r="Q679" i="1"/>
  <c r="L679" i="1" l="1"/>
  <c r="E679" i="1"/>
  <c r="N679" i="1"/>
  <c r="M679" i="1"/>
  <c r="Q678" i="1" l="1"/>
  <c r="P678" i="1"/>
  <c r="O678" i="1"/>
  <c r="L678" i="1" l="1"/>
  <c r="N678" i="1"/>
  <c r="E678" i="1"/>
  <c r="M678" i="1"/>
  <c r="E677" i="1" l="1"/>
  <c r="Q677" i="1" l="1"/>
  <c r="P677" i="1"/>
  <c r="O677" i="1"/>
  <c r="L677" i="1" l="1"/>
  <c r="N677" i="1"/>
  <c r="M677" i="1"/>
  <c r="P676" i="1" l="1"/>
  <c r="O676" i="1"/>
  <c r="Q676" i="1"/>
  <c r="L676" i="1" l="1"/>
  <c r="N676" i="1"/>
  <c r="M676" i="1"/>
  <c r="E676" i="1"/>
  <c r="P675" i="1" l="1"/>
  <c r="O675" i="1"/>
  <c r="Q675" i="1"/>
  <c r="L675" i="1" l="1"/>
  <c r="N675" i="1"/>
  <c r="M675" i="1"/>
  <c r="E675" i="1"/>
  <c r="P674" i="1" l="1"/>
  <c r="O674" i="1"/>
  <c r="Q674" i="1"/>
  <c r="L674" i="1" l="1"/>
  <c r="N674" i="1"/>
  <c r="M674" i="1"/>
  <c r="E674" i="1"/>
  <c r="N673" i="1" l="1"/>
  <c r="M673" i="1"/>
  <c r="P673" i="1" l="1"/>
  <c r="O673" i="1"/>
  <c r="Q673" i="1"/>
  <c r="L673" i="1" l="1"/>
  <c r="E673" i="1"/>
  <c r="P672" i="1" l="1"/>
  <c r="O672" i="1"/>
  <c r="Q672" i="1"/>
  <c r="L672" i="1" l="1"/>
  <c r="E672" i="1"/>
  <c r="N672" i="1"/>
  <c r="M672" i="1"/>
  <c r="P671" i="1" l="1"/>
  <c r="O671" i="1"/>
  <c r="Q671" i="1"/>
  <c r="L671" i="1" l="1"/>
  <c r="E671" i="1"/>
  <c r="N671" i="1"/>
  <c r="M671" i="1"/>
  <c r="P670" i="1" l="1"/>
  <c r="O670" i="1"/>
  <c r="Q670" i="1"/>
  <c r="L670" i="1" l="1"/>
  <c r="N670" i="1"/>
  <c r="M670" i="1"/>
  <c r="E669" i="1"/>
  <c r="E670" i="1"/>
  <c r="L669" i="1" l="1"/>
  <c r="N669" i="1"/>
  <c r="M669" i="1"/>
  <c r="Q669" i="1"/>
  <c r="P668" i="1" l="1"/>
  <c r="O668" i="1"/>
  <c r="Q668" i="1"/>
  <c r="L668" i="1" l="1"/>
  <c r="M668" i="1"/>
  <c r="E668" i="1"/>
  <c r="N668" i="1"/>
  <c r="P667" i="1" l="1"/>
  <c r="O667" i="1"/>
  <c r="Q667" i="1"/>
  <c r="L667" i="1" l="1"/>
  <c r="N667" i="1"/>
  <c r="M667" i="1"/>
  <c r="E667" i="1"/>
  <c r="P666" i="1" l="1"/>
  <c r="O666" i="1" l="1"/>
  <c r="Q666" i="1"/>
  <c r="L666" i="1" l="1"/>
  <c r="N666" i="1"/>
  <c r="M666" i="1"/>
  <c r="E666" i="1"/>
  <c r="P665" i="1" l="1"/>
  <c r="O665" i="1"/>
  <c r="Q665" i="1"/>
  <c r="L665" i="1" l="1"/>
  <c r="N665" i="1"/>
  <c r="M665" i="1"/>
  <c r="E665" i="1"/>
  <c r="P664" i="1" l="1"/>
  <c r="O664" i="1"/>
  <c r="Q664" i="1"/>
  <c r="L664" i="1" l="1"/>
  <c r="N664" i="1"/>
  <c r="M664" i="1"/>
  <c r="E664" i="1"/>
  <c r="E663" i="1" l="1"/>
  <c r="L663" i="1" l="1"/>
  <c r="P663" i="1"/>
  <c r="O663" i="1"/>
  <c r="Q663" i="1"/>
  <c r="N663" i="1"/>
  <c r="M663" i="1"/>
  <c r="P662" i="1" l="1"/>
  <c r="O662" i="1"/>
  <c r="Q662" i="1"/>
  <c r="L662" i="1" l="1"/>
  <c r="E662" i="1"/>
  <c r="N662" i="1"/>
  <c r="M662" i="1"/>
  <c r="N661" i="1" l="1"/>
  <c r="M661" i="1"/>
  <c r="Q661" i="1"/>
  <c r="P661" i="1"/>
  <c r="O661" i="1"/>
  <c r="L661" i="1" l="1"/>
  <c r="E661" i="1"/>
  <c r="P660" i="1" l="1"/>
  <c r="O660" i="1"/>
  <c r="Q660" i="1"/>
  <c r="L660" i="1"/>
  <c r="N660" i="1" l="1"/>
  <c r="M660" i="1"/>
  <c r="E660" i="1"/>
  <c r="E659" i="1"/>
  <c r="P659" i="1" l="1"/>
  <c r="O659" i="1"/>
  <c r="Q659" i="1"/>
  <c r="L659" i="1" l="1"/>
  <c r="N659" i="1"/>
  <c r="M659" i="1"/>
  <c r="P658" i="1" l="1"/>
  <c r="O658" i="1"/>
  <c r="Q658" i="1"/>
  <c r="L658" i="1" l="1"/>
  <c r="N658" i="1"/>
  <c r="M658" i="1"/>
  <c r="E658" i="1"/>
  <c r="P657" i="1" l="1"/>
  <c r="O657" i="1"/>
  <c r="Q657" i="1"/>
  <c r="L657" i="1" l="1"/>
  <c r="N657" i="1"/>
  <c r="M657" i="1"/>
  <c r="E657" i="1"/>
  <c r="P656" i="1" l="1"/>
  <c r="O656" i="1"/>
  <c r="Q656" i="1"/>
  <c r="L656" i="1"/>
  <c r="N656" i="1"/>
  <c r="M656" i="1"/>
  <c r="E656" i="1"/>
  <c r="L655" i="1" l="1"/>
  <c r="M655" i="1"/>
  <c r="E655" i="1"/>
  <c r="P655" i="1" l="1"/>
  <c r="O655" i="1"/>
  <c r="Q655" i="1"/>
  <c r="N655" i="1"/>
  <c r="P654" i="1" l="1"/>
  <c r="O654" i="1"/>
  <c r="Q654" i="1"/>
  <c r="L654" i="1"/>
  <c r="N653" i="1"/>
  <c r="N654" i="1"/>
  <c r="M654" i="1"/>
  <c r="E654" i="1"/>
  <c r="P653" i="1"/>
  <c r="O653" i="1"/>
  <c r="Q653" i="1"/>
  <c r="L653" i="1"/>
  <c r="E653" i="1"/>
  <c r="M653" i="1"/>
  <c r="P652" i="1"/>
  <c r="O652" i="1"/>
  <c r="Q652" i="1"/>
  <c r="L652" i="1"/>
  <c r="M652" i="1"/>
  <c r="N652" i="1"/>
  <c r="E652" i="1"/>
  <c r="Q651" i="1"/>
  <c r="P651" i="1"/>
  <c r="O651" i="1"/>
  <c r="L651" i="1"/>
  <c r="N651" i="1"/>
  <c r="M651" i="1"/>
  <c r="E651" i="1"/>
  <c r="L650" i="1"/>
  <c r="P650" i="1"/>
  <c r="O650" i="1"/>
  <c r="Q650" i="1"/>
  <c r="E650" i="1"/>
  <c r="N650" i="1"/>
  <c r="M650" i="1"/>
  <c r="L649" i="1"/>
  <c r="E649" i="1"/>
  <c r="Q649" i="1"/>
  <c r="P649" i="1"/>
  <c r="O649" i="1"/>
  <c r="N649" i="1"/>
  <c r="M649" i="1"/>
  <c r="Q648" i="1"/>
  <c r="L648" i="1"/>
  <c r="P648" i="1"/>
  <c r="O648" i="1"/>
  <c r="N648" i="1"/>
  <c r="M648" i="1"/>
  <c r="E648" i="1"/>
  <c r="N647" i="1"/>
  <c r="M647" i="1"/>
  <c r="E647" i="1"/>
  <c r="L647" i="1"/>
  <c r="P647" i="1"/>
  <c r="O647" i="1"/>
  <c r="Q647" i="1"/>
  <c r="N646" i="1"/>
  <c r="M646" i="1"/>
  <c r="E646" i="1"/>
  <c r="P646" i="1"/>
  <c r="O646" i="1"/>
  <c r="Q646" i="1"/>
  <c r="L646" i="1"/>
  <c r="P645" i="1"/>
  <c r="O645" i="1"/>
  <c r="Q645" i="1"/>
  <c r="L645" i="1"/>
  <c r="E645" i="1"/>
  <c r="N645" i="1"/>
  <c r="M645" i="1"/>
  <c r="Q644" i="1"/>
  <c r="P644" i="1"/>
  <c r="O644" i="1"/>
  <c r="L644" i="1"/>
  <c r="N644" i="1"/>
  <c r="M644" i="1"/>
  <c r="E644" i="1"/>
  <c r="P643" i="1"/>
  <c r="O643" i="1"/>
  <c r="Q643" i="1"/>
  <c r="L643" i="1"/>
  <c r="N643" i="1"/>
  <c r="M643" i="1"/>
  <c r="E643" i="1"/>
  <c r="L642" i="1"/>
  <c r="N642" i="1"/>
  <c r="M642" i="1"/>
  <c r="E642" i="1"/>
  <c r="P641" i="1"/>
  <c r="O641" i="1"/>
  <c r="Q641" i="1"/>
  <c r="L641" i="1"/>
  <c r="N641" i="1"/>
  <c r="M641" i="1"/>
  <c r="E641" i="1"/>
  <c r="O640" i="1"/>
  <c r="Q640" i="1"/>
  <c r="L640" i="1"/>
  <c r="N640" i="1"/>
  <c r="M640" i="1"/>
  <c r="P640" i="1"/>
  <c r="E640" i="1"/>
  <c r="Q639" i="1"/>
  <c r="P639" i="1"/>
  <c r="O639" i="1"/>
  <c r="L639" i="1"/>
  <c r="N639" i="1"/>
  <c r="M639" i="1"/>
  <c r="E639" i="1"/>
  <c r="P638" i="1"/>
  <c r="O638" i="1"/>
  <c r="Q638" i="1"/>
  <c r="L638" i="1"/>
  <c r="N638" i="1"/>
  <c r="M638" i="1"/>
  <c r="E638" i="1"/>
  <c r="P637" i="1"/>
  <c r="O637" i="1"/>
  <c r="Q637" i="1"/>
  <c r="L637" i="1"/>
  <c r="N637" i="1"/>
  <c r="M637" i="1"/>
  <c r="E637" i="1"/>
  <c r="Q636" i="1"/>
  <c r="P636" i="1"/>
  <c r="O636" i="1"/>
  <c r="L635" i="1"/>
  <c r="L636" i="1"/>
  <c r="N636" i="1"/>
  <c r="M636" i="1"/>
  <c r="E636" i="1"/>
  <c r="Q635" i="1"/>
  <c r="P635" i="1"/>
  <c r="O635" i="1"/>
  <c r="N635" i="1"/>
  <c r="M635" i="1"/>
  <c r="E635" i="1"/>
  <c r="P634" i="1"/>
  <c r="O634" i="1"/>
  <c r="Q634" i="1"/>
  <c r="L634" i="1"/>
  <c r="N634" i="1"/>
  <c r="N633" i="1"/>
  <c r="M634" i="1"/>
  <c r="E634" i="1"/>
  <c r="P633" i="1"/>
  <c r="O633" i="1"/>
  <c r="Q633" i="1"/>
  <c r="M633" i="1"/>
  <c r="L632" i="1"/>
  <c r="L633" i="1"/>
  <c r="E633" i="1"/>
  <c r="P632" i="1"/>
  <c r="O632" i="1"/>
  <c r="Q632" i="1"/>
  <c r="N632" i="1"/>
  <c r="M632" i="1"/>
  <c r="E632" i="1"/>
  <c r="P631" i="1"/>
  <c r="O631" i="1"/>
  <c r="Q631" i="1"/>
  <c r="L631" i="1"/>
  <c r="N631" i="1"/>
  <c r="M631" i="1"/>
  <c r="E631" i="1"/>
  <c r="Q630" i="1"/>
  <c r="L630" i="1"/>
  <c r="N630" i="1"/>
  <c r="M630" i="1"/>
  <c r="E630" i="1"/>
  <c r="L629" i="1"/>
  <c r="E629" i="1"/>
  <c r="N629" i="1"/>
  <c r="M629" i="1"/>
  <c r="E628" i="1"/>
  <c r="L628" i="1"/>
  <c r="N628" i="1"/>
  <c r="M628" i="1"/>
  <c r="P627" i="1"/>
  <c r="O627" i="1"/>
  <c r="Q627" i="1"/>
  <c r="L627" i="1"/>
  <c r="M625" i="1"/>
  <c r="N627" i="1"/>
  <c r="M627" i="1"/>
  <c r="M626" i="1"/>
  <c r="E627" i="1"/>
  <c r="P626" i="1"/>
  <c r="O626" i="1"/>
  <c r="Q626" i="1"/>
  <c r="L626" i="1"/>
  <c r="E626" i="1"/>
  <c r="N626" i="1"/>
  <c r="N625" i="1"/>
  <c r="E625" i="1"/>
  <c r="L625" i="1"/>
  <c r="P625" i="1"/>
  <c r="O625" i="1"/>
  <c r="Q625" i="1"/>
  <c r="L623" i="1"/>
  <c r="L624" i="1"/>
  <c r="P624" i="1"/>
  <c r="O624" i="1"/>
  <c r="Q624" i="1"/>
  <c r="E624" i="1"/>
  <c r="N624" i="1"/>
  <c r="M624" i="1"/>
  <c r="P623" i="1"/>
  <c r="O623" i="1"/>
  <c r="Q623" i="1"/>
  <c r="E623" i="1"/>
  <c r="N623" i="1"/>
  <c r="M623" i="1"/>
  <c r="P622" i="1"/>
  <c r="O622" i="1"/>
  <c r="Q622" i="1"/>
  <c r="L622" i="1"/>
  <c r="M622" i="1"/>
  <c r="E622" i="1"/>
  <c r="N622" i="1"/>
  <c r="P621" i="1"/>
  <c r="O621" i="1"/>
  <c r="Q621" i="1"/>
  <c r="L621" i="1"/>
  <c r="N621" i="1"/>
  <c r="M621" i="1"/>
  <c r="E621" i="1"/>
  <c r="O620" i="1"/>
  <c r="P620" i="1"/>
  <c r="Q620" i="1"/>
  <c r="L620" i="1"/>
  <c r="N620" i="1"/>
  <c r="M620" i="1"/>
  <c r="E620" i="1"/>
  <c r="L619" i="1"/>
  <c r="P619" i="1"/>
  <c r="O619" i="1"/>
  <c r="Q619" i="1"/>
  <c r="N619" i="1"/>
  <c r="M619" i="1"/>
  <c r="E619" i="1"/>
  <c r="P618" i="1"/>
  <c r="O618" i="1"/>
  <c r="Q618" i="1"/>
  <c r="L618" i="1"/>
  <c r="E618" i="1"/>
  <c r="N618" i="1"/>
  <c r="M618" i="1"/>
  <c r="P617" i="1"/>
  <c r="O617" i="1"/>
  <c r="Q617" i="1"/>
  <c r="L617" i="1"/>
  <c r="N617" i="1"/>
  <c r="M617" i="1"/>
  <c r="E616" i="1"/>
  <c r="E617" i="1"/>
  <c r="P616" i="1"/>
  <c r="O616" i="1"/>
  <c r="Q616" i="1"/>
  <c r="L616" i="1"/>
  <c r="N616" i="1"/>
  <c r="M616" i="1"/>
  <c r="L615" i="1"/>
  <c r="Q615" i="1"/>
  <c r="P615" i="1"/>
  <c r="O615" i="1"/>
  <c r="N615" i="1"/>
  <c r="M615" i="1"/>
  <c r="E615" i="1"/>
  <c r="P614" i="1"/>
  <c r="O614" i="1"/>
  <c r="Q614" i="1"/>
  <c r="L614" i="1"/>
  <c r="N614" i="1"/>
  <c r="M614" i="1"/>
  <c r="E614" i="1"/>
  <c r="P613" i="1"/>
  <c r="O613" i="1"/>
  <c r="Q613" i="1"/>
  <c r="L613" i="1"/>
  <c r="N613" i="1"/>
  <c r="M613" i="1"/>
  <c r="E613" i="1"/>
  <c r="P612" i="1"/>
  <c r="O612" i="1"/>
  <c r="Q612" i="1"/>
  <c r="L612" i="1"/>
  <c r="N612" i="1"/>
  <c r="M612" i="1"/>
  <c r="E612" i="1"/>
  <c r="L611" i="1"/>
  <c r="P611" i="1"/>
  <c r="O611" i="1"/>
  <c r="Q611" i="1"/>
  <c r="E611" i="1"/>
  <c r="N611" i="1"/>
  <c r="M611" i="1"/>
  <c r="Q610" i="1"/>
  <c r="P610" i="1"/>
  <c r="O610" i="1"/>
  <c r="L610" i="1"/>
  <c r="E610" i="1"/>
  <c r="N610" i="1"/>
  <c r="M610" i="1"/>
  <c r="N609" i="1"/>
  <c r="M609" i="1"/>
  <c r="E609" i="1"/>
  <c r="L609" i="1"/>
  <c r="P609" i="1"/>
  <c r="O609" i="1"/>
  <c r="Q609" i="1"/>
  <c r="P608" i="1"/>
  <c r="O608" i="1"/>
  <c r="Q608" i="1"/>
  <c r="L608" i="1"/>
  <c r="N608" i="1"/>
  <c r="M608" i="1"/>
  <c r="E608" i="1"/>
  <c r="P607" i="1"/>
  <c r="O607" i="1"/>
  <c r="Q607" i="1"/>
  <c r="L607" i="1"/>
  <c r="N607" i="1"/>
  <c r="M607" i="1"/>
  <c r="E607" i="1"/>
  <c r="Q606" i="1"/>
  <c r="P606" i="1"/>
  <c r="O606" i="1"/>
  <c r="L606" i="1"/>
  <c r="N606" i="1"/>
  <c r="M606" i="1"/>
  <c r="E606" i="1"/>
  <c r="P604" i="1"/>
  <c r="O604" i="1"/>
  <c r="Q604" i="1"/>
  <c r="Q605" i="1"/>
  <c r="P605" i="1"/>
  <c r="O605" i="1"/>
  <c r="L605" i="1"/>
  <c r="N605" i="1"/>
  <c r="E605" i="1"/>
  <c r="M605" i="1"/>
  <c r="L604" i="1"/>
  <c r="N603" i="1"/>
  <c r="N604" i="1"/>
  <c r="M604" i="1"/>
  <c r="E604" i="1"/>
  <c r="Q603" i="1"/>
  <c r="P603" i="1"/>
  <c r="O603" i="1"/>
  <c r="L603" i="1"/>
  <c r="M603" i="1"/>
  <c r="E603" i="1"/>
  <c r="P602" i="1"/>
  <c r="O602" i="1"/>
  <c r="Q602" i="1"/>
  <c r="L602" i="1"/>
  <c r="N602" i="1"/>
  <c r="M602" i="1"/>
  <c r="E602" i="1"/>
  <c r="Q601" i="1"/>
  <c r="P601" i="1"/>
  <c r="O601" i="1"/>
  <c r="L601" i="1"/>
  <c r="N601" i="1"/>
  <c r="M601" i="1"/>
  <c r="E601" i="1"/>
  <c r="Q600" i="1"/>
  <c r="P600" i="1"/>
  <c r="O600" i="1"/>
  <c r="L600" i="1"/>
  <c r="N600" i="1"/>
  <c r="M600" i="1"/>
  <c r="E600" i="1"/>
  <c r="E597" i="1"/>
  <c r="E598" i="1"/>
  <c r="E599" i="1"/>
  <c r="Q599" i="1"/>
  <c r="L599" i="1"/>
  <c r="N599" i="1"/>
  <c r="M599" i="1"/>
  <c r="Q598" i="1"/>
  <c r="L598" i="1"/>
  <c r="N598" i="1"/>
  <c r="M598" i="1"/>
  <c r="Q597" i="1"/>
  <c r="N597" i="1"/>
  <c r="N596" i="1"/>
  <c r="N595" i="1"/>
  <c r="M597" i="1"/>
  <c r="L597" i="1"/>
  <c r="Q596" i="1"/>
  <c r="L596" i="1"/>
  <c r="M596" i="1"/>
  <c r="E596" i="1"/>
  <c r="L595" i="1"/>
  <c r="Q595" i="1"/>
  <c r="M595" i="1"/>
  <c r="E595" i="1"/>
  <c r="Q594" i="1"/>
  <c r="E594" i="1"/>
  <c r="L594" i="1"/>
  <c r="N594" i="1"/>
  <c r="M594" i="1"/>
  <c r="Q593" i="1"/>
  <c r="L593" i="1"/>
  <c r="E593" i="1"/>
  <c r="N593" i="1"/>
  <c r="M593" i="1"/>
  <c r="Q592" i="1"/>
  <c r="L592" i="1"/>
  <c r="E592" i="1"/>
  <c r="N592" i="1"/>
  <c r="M592" i="1"/>
  <c r="Q591" i="1"/>
  <c r="L591" i="1"/>
  <c r="E591" i="1"/>
  <c r="N591" i="1"/>
  <c r="M591" i="1"/>
  <c r="Q590" i="1"/>
  <c r="N590" i="1"/>
  <c r="M590" i="1"/>
  <c r="E590" i="1"/>
  <c r="L590" i="1"/>
  <c r="P589" i="1"/>
  <c r="O589" i="1"/>
  <c r="Q589" i="1"/>
  <c r="L589" i="1"/>
  <c r="L588" i="1"/>
  <c r="Q588" i="1"/>
  <c r="P588" i="1"/>
  <c r="O588" i="1"/>
  <c r="N588" i="1"/>
  <c r="N587" i="1"/>
  <c r="M588" i="1"/>
  <c r="E588" i="1"/>
  <c r="Q587" i="1"/>
  <c r="P587" i="1"/>
  <c r="O587" i="1"/>
  <c r="L587" i="1"/>
  <c r="M587" i="1"/>
  <c r="E587" i="1"/>
  <c r="Q586" i="1"/>
  <c r="P586" i="1"/>
  <c r="O586" i="1"/>
  <c r="L586" i="1"/>
  <c r="N586" i="1"/>
  <c r="N585" i="1"/>
  <c r="M586" i="1"/>
  <c r="E586" i="1"/>
  <c r="L585" i="1"/>
  <c r="Q585" i="1"/>
  <c r="P585" i="1"/>
  <c r="O585" i="1"/>
  <c r="M585" i="1"/>
  <c r="E585" i="1"/>
  <c r="P584" i="1"/>
  <c r="O584" i="1"/>
  <c r="Q584" i="1"/>
  <c r="L584" i="1"/>
  <c r="E584" i="1"/>
  <c r="N584" i="1"/>
  <c r="M584" i="1"/>
  <c r="P583" i="1"/>
  <c r="O583" i="1"/>
  <c r="Q583" i="1"/>
  <c r="L583" i="1"/>
  <c r="N582" i="1"/>
  <c r="M583" i="1"/>
  <c r="E583" i="1"/>
  <c r="N583" i="1"/>
  <c r="M582" i="1"/>
  <c r="P582" i="1"/>
  <c r="O582" i="1"/>
  <c r="Q582" i="1"/>
  <c r="L582" i="1"/>
  <c r="E582" i="1"/>
  <c r="P581" i="1"/>
  <c r="O581" i="1"/>
  <c r="Q581" i="1"/>
  <c r="P579" i="1"/>
  <c r="O579" i="1"/>
  <c r="P580" i="1"/>
  <c r="O580" i="1"/>
  <c r="E580" i="1"/>
  <c r="N580" i="1"/>
  <c r="M580" i="1"/>
  <c r="E581" i="1"/>
  <c r="L580" i="1"/>
  <c r="L581" i="1"/>
  <c r="N579" i="1"/>
  <c r="M579" i="1"/>
  <c r="E579" i="1"/>
  <c r="N581" i="1"/>
  <c r="M581" i="1"/>
  <c r="L579" i="1"/>
  <c r="L578" i="1"/>
  <c r="M578" i="1"/>
  <c r="N578" i="1"/>
  <c r="E578" i="1"/>
  <c r="N577" i="1"/>
  <c r="M577" i="1"/>
  <c r="E577" i="1"/>
  <c r="Q576" i="1"/>
  <c r="L577" i="1"/>
  <c r="L576" i="1"/>
  <c r="E576" i="1"/>
  <c r="N576" i="1"/>
  <c r="M576" i="1"/>
  <c r="Q575" i="1"/>
  <c r="L575" i="1"/>
  <c r="N575" i="1"/>
  <c r="E575" i="1"/>
  <c r="M575" i="1"/>
  <c r="P574" i="1"/>
  <c r="O574" i="1"/>
  <c r="Q574" i="1"/>
  <c r="L574" i="1"/>
  <c r="N574" i="1"/>
  <c r="M574" i="1"/>
  <c r="E574" i="1"/>
  <c r="P573" i="1"/>
  <c r="O573" i="1"/>
  <c r="Q573" i="1"/>
  <c r="L573" i="1"/>
  <c r="N572" i="1"/>
  <c r="N573" i="1"/>
  <c r="E573" i="1"/>
  <c r="M573" i="1"/>
  <c r="P572" i="1"/>
  <c r="O572" i="1"/>
  <c r="Q572" i="1"/>
  <c r="L570" i="1"/>
  <c r="L572" i="1"/>
  <c r="L571" i="1"/>
  <c r="E571" i="1"/>
  <c r="M572" i="1"/>
  <c r="E572" i="1"/>
  <c r="Q571" i="1"/>
  <c r="P571" i="1"/>
  <c r="O571" i="1"/>
  <c r="N571" i="1"/>
  <c r="M571" i="1"/>
  <c r="Q570" i="1"/>
  <c r="P570" i="1"/>
  <c r="O570" i="1"/>
  <c r="E570" i="1"/>
  <c r="N570" i="1"/>
  <c r="M570" i="1"/>
  <c r="Q569" i="1"/>
  <c r="P569" i="1"/>
  <c r="O569" i="1"/>
  <c r="L569" i="1"/>
  <c r="N569" i="1"/>
  <c r="M569" i="1"/>
  <c r="E569" i="1"/>
  <c r="N568" i="1"/>
  <c r="L568" i="1"/>
  <c r="Q568" i="1"/>
  <c r="P568" i="1"/>
  <c r="O568" i="1"/>
  <c r="M568" i="1"/>
  <c r="E568" i="1"/>
  <c r="P567" i="1"/>
  <c r="O567" i="1"/>
  <c r="Q567" i="1"/>
  <c r="L567" i="1"/>
  <c r="E567" i="1"/>
  <c r="N567" i="1"/>
  <c r="M567" i="1"/>
  <c r="Q566" i="1"/>
  <c r="P566" i="1"/>
  <c r="O566" i="1"/>
  <c r="E566" i="1"/>
  <c r="L566" i="1"/>
  <c r="N566" i="1"/>
  <c r="M566" i="1"/>
  <c r="L565" i="1"/>
  <c r="Q565" i="1"/>
  <c r="P565" i="1"/>
  <c r="O565" i="1"/>
  <c r="N565" i="1"/>
  <c r="E565" i="1"/>
  <c r="E564" i="1"/>
  <c r="M565" i="1"/>
  <c r="D565" i="1"/>
  <c r="D567" i="1" s="1"/>
  <c r="Q564" i="1"/>
  <c r="P564" i="1"/>
  <c r="O564" i="1"/>
  <c r="N564" i="1"/>
  <c r="M564" i="1"/>
  <c r="N563" i="1"/>
  <c r="M563" i="1"/>
  <c r="E563" i="1"/>
  <c r="L562" i="1"/>
  <c r="L563" i="1"/>
  <c r="L564" i="1"/>
  <c r="N562" i="1"/>
  <c r="M562" i="1"/>
  <c r="E562" i="1"/>
  <c r="P563" i="1"/>
  <c r="O563" i="1"/>
  <c r="P562" i="1"/>
  <c r="O562" i="1"/>
  <c r="Q563" i="1"/>
  <c r="Q562" i="1"/>
  <c r="Q561" i="1"/>
  <c r="P561" i="1"/>
  <c r="O561" i="1"/>
  <c r="L561" i="1"/>
  <c r="E561" i="1"/>
  <c r="N561" i="1"/>
  <c r="M561" i="1"/>
  <c r="L560" i="1"/>
  <c r="Q560" i="1"/>
  <c r="P560" i="1"/>
  <c r="O560" i="1"/>
  <c r="E560" i="1"/>
  <c r="N560" i="1"/>
  <c r="M560" i="1"/>
  <c r="Q559" i="1"/>
  <c r="P559" i="1"/>
  <c r="O559" i="1"/>
  <c r="L559" i="1"/>
  <c r="E559" i="1"/>
  <c r="N559" i="1"/>
  <c r="M559" i="1"/>
  <c r="P558" i="1"/>
  <c r="O558" i="1"/>
  <c r="Q558" i="1"/>
  <c r="L558" i="1"/>
  <c r="N558" i="1"/>
  <c r="M558" i="1"/>
  <c r="E558" i="1"/>
  <c r="Q557" i="1"/>
  <c r="P557" i="1"/>
  <c r="O557" i="1"/>
  <c r="L557" i="1"/>
  <c r="N557" i="1"/>
  <c r="E557" i="1"/>
  <c r="M557" i="1"/>
  <c r="D564" i="1"/>
  <c r="D566" i="1" s="1"/>
  <c r="D568" i="1" s="1"/>
  <c r="D570" i="1" s="1"/>
  <c r="D572" i="1" s="1"/>
  <c r="Q556" i="1"/>
  <c r="P556" i="1"/>
  <c r="O556" i="1"/>
  <c r="N556" i="1"/>
  <c r="M556" i="1"/>
  <c r="L556" i="1"/>
  <c r="E556" i="1"/>
  <c r="Q555" i="1"/>
  <c r="P555" i="1"/>
  <c r="O555" i="1"/>
  <c r="N555" i="1"/>
  <c r="M555" i="1"/>
  <c r="L555" i="1"/>
  <c r="E555" i="1"/>
  <c r="P554" i="1"/>
  <c r="O554" i="1"/>
  <c r="Q554" i="1"/>
  <c r="L554" i="1"/>
  <c r="N554" i="1"/>
  <c r="M554" i="1"/>
  <c r="E554" i="1"/>
  <c r="Q553" i="1"/>
  <c r="P553" i="1"/>
  <c r="O553" i="1"/>
  <c r="L553" i="1"/>
  <c r="N553" i="1"/>
  <c r="M553" i="1"/>
  <c r="E553" i="1"/>
  <c r="Q552" i="1"/>
  <c r="P552" i="1"/>
  <c r="O552" i="1"/>
  <c r="L552" i="1"/>
  <c r="N552" i="1"/>
  <c r="M552" i="1"/>
  <c r="M551" i="1"/>
  <c r="E552" i="1"/>
  <c r="Q551" i="1"/>
  <c r="P551" i="1"/>
  <c r="O551" i="1"/>
  <c r="L551" i="1"/>
  <c r="N551" i="1"/>
  <c r="E551" i="1"/>
  <c r="Q550" i="1"/>
  <c r="P550" i="1"/>
  <c r="O550" i="1"/>
  <c r="L550" i="1"/>
  <c r="N550" i="1"/>
  <c r="M550" i="1"/>
  <c r="E550" i="1"/>
  <c r="P549" i="1"/>
  <c r="O549" i="1"/>
  <c r="Q549" i="1"/>
  <c r="N549" i="1"/>
  <c r="E549" i="1"/>
  <c r="L549" i="1"/>
  <c r="M549" i="1"/>
  <c r="Q548" i="1"/>
  <c r="P548" i="1"/>
  <c r="O548" i="1"/>
  <c r="L548" i="1"/>
  <c r="E548" i="1"/>
  <c r="N548" i="1"/>
  <c r="M548" i="1"/>
  <c r="Q547" i="1"/>
  <c r="P547" i="1"/>
  <c r="O547" i="1"/>
  <c r="L547" i="1"/>
  <c r="N547" i="1"/>
  <c r="M547" i="1"/>
  <c r="E546" i="1"/>
  <c r="E547" i="1"/>
  <c r="L546" i="1"/>
  <c r="N546" i="1"/>
  <c r="M546" i="1"/>
  <c r="N545" i="1"/>
  <c r="M545" i="1"/>
  <c r="E545" i="1"/>
  <c r="Q546" i="1"/>
  <c r="P546" i="1"/>
  <c r="O546" i="1"/>
  <c r="Q545" i="1"/>
  <c r="P545" i="1"/>
  <c r="O545" i="1"/>
  <c r="L545" i="1"/>
  <c r="P544" i="1"/>
  <c r="O544" i="1"/>
  <c r="Q544" i="1"/>
  <c r="L544" i="1"/>
  <c r="N544" i="1"/>
  <c r="M544" i="1"/>
  <c r="E543" i="1"/>
  <c r="E544" i="1"/>
  <c r="L543" i="1"/>
  <c r="Q543" i="1"/>
  <c r="P543" i="1"/>
  <c r="O543" i="1"/>
  <c r="N543" i="1"/>
  <c r="M543" i="1"/>
  <c r="L542" i="1"/>
  <c r="M542" i="1"/>
  <c r="N542" i="1"/>
  <c r="E542" i="1"/>
  <c r="E541" i="1"/>
  <c r="P542" i="1"/>
  <c r="O542" i="1"/>
  <c r="Q542" i="1"/>
  <c r="O541" i="1"/>
  <c r="Q541" i="1"/>
  <c r="P541" i="1"/>
  <c r="N541" i="1"/>
  <c r="M541" i="1"/>
  <c r="L541" i="1"/>
  <c r="P540" i="1"/>
  <c r="O540" i="1"/>
  <c r="Q540" i="1"/>
  <c r="L540" i="1"/>
  <c r="M540" i="1"/>
  <c r="E540" i="1"/>
  <c r="N540" i="1"/>
  <c r="Q539" i="1"/>
  <c r="L539" i="1"/>
  <c r="P539" i="1"/>
  <c r="O539" i="1"/>
  <c r="N539" i="1"/>
  <c r="M539" i="1"/>
  <c r="E539" i="1"/>
  <c r="Q538" i="1"/>
  <c r="P538" i="1"/>
  <c r="O538" i="1"/>
  <c r="L538" i="1"/>
  <c r="N538" i="1"/>
  <c r="M538" i="1"/>
  <c r="E538" i="1"/>
  <c r="P537" i="1"/>
  <c r="O537" i="1"/>
  <c r="Q537" i="1"/>
  <c r="L537" i="1"/>
  <c r="N537" i="1"/>
  <c r="M537" i="1"/>
  <c r="E537" i="1"/>
  <c r="P536" i="1"/>
  <c r="O536" i="1"/>
  <c r="Q536" i="1"/>
  <c r="L536" i="1"/>
  <c r="N536" i="1"/>
  <c r="M536" i="1"/>
  <c r="E536" i="1"/>
  <c r="L535" i="1"/>
  <c r="P535" i="1"/>
  <c r="O535" i="1"/>
  <c r="Q535" i="1"/>
  <c r="N535" i="1"/>
  <c r="M535" i="1"/>
  <c r="E535" i="1"/>
  <c r="Q534" i="1"/>
  <c r="P534" i="1"/>
  <c r="O534" i="1"/>
  <c r="L534" i="1"/>
  <c r="N534" i="1"/>
  <c r="M534" i="1"/>
  <c r="E534" i="1"/>
  <c r="E533" i="1"/>
  <c r="Q533" i="1"/>
  <c r="P533" i="1"/>
  <c r="O533" i="1"/>
  <c r="L533" i="1"/>
  <c r="M533" i="1"/>
  <c r="N533" i="1"/>
  <c r="Q532" i="1"/>
  <c r="P532" i="1"/>
  <c r="O532" i="1"/>
  <c r="L532" i="1"/>
  <c r="N532" i="1"/>
  <c r="M532" i="1"/>
  <c r="E532" i="1"/>
  <c r="Q531" i="1"/>
  <c r="P531" i="1"/>
  <c r="O531" i="1"/>
  <c r="L531" i="1"/>
  <c r="N531" i="1"/>
  <c r="M531" i="1"/>
  <c r="E531" i="1"/>
  <c r="Q530" i="1"/>
  <c r="P530" i="1"/>
  <c r="O530" i="1"/>
  <c r="N530" i="1"/>
  <c r="M530" i="1"/>
  <c r="E530" i="1"/>
  <c r="L530" i="1"/>
  <c r="L529" i="1"/>
  <c r="Q529" i="1"/>
  <c r="P529" i="1"/>
  <c r="O529" i="1"/>
  <c r="N529" i="1"/>
  <c r="M529" i="1"/>
  <c r="E529" i="1"/>
  <c r="E528" i="1"/>
  <c r="P528" i="1"/>
  <c r="O528" i="1"/>
  <c r="Q528" i="1"/>
  <c r="P527" i="1"/>
  <c r="O527" i="1"/>
  <c r="L528" i="1"/>
  <c r="N528" i="1"/>
  <c r="M528" i="1"/>
  <c r="L527" i="1"/>
  <c r="N527" i="1"/>
  <c r="M527" i="1"/>
  <c r="E527" i="1"/>
  <c r="Q526" i="1"/>
  <c r="L526" i="1"/>
  <c r="N526" i="1"/>
  <c r="M526" i="1"/>
  <c r="E526" i="1"/>
  <c r="Q525" i="1"/>
  <c r="N525" i="1"/>
  <c r="M525" i="1"/>
  <c r="E525" i="1"/>
  <c r="L525" i="1"/>
  <c r="Q524" i="1"/>
  <c r="L524" i="1"/>
  <c r="N524" i="1"/>
  <c r="M524" i="1"/>
  <c r="E524" i="1"/>
  <c r="P523" i="1"/>
  <c r="O523" i="1"/>
  <c r="Q523" i="1"/>
  <c r="L517" i="1"/>
  <c r="L518" i="1"/>
  <c r="L519" i="1"/>
  <c r="L520" i="1"/>
  <c r="L521" i="1"/>
  <c r="L522" i="1"/>
  <c r="L523" i="1"/>
  <c r="M523" i="1"/>
  <c r="E523" i="1"/>
  <c r="N523" i="1"/>
  <c r="P522" i="1"/>
  <c r="O522" i="1"/>
  <c r="Q522" i="1"/>
  <c r="N522" i="1"/>
  <c r="E522" i="1"/>
  <c r="O521" i="1"/>
  <c r="M522" i="1"/>
  <c r="Q521" i="1"/>
  <c r="P521" i="1"/>
  <c r="N521" i="1"/>
  <c r="M521" i="1"/>
  <c r="E521" i="1"/>
  <c r="Q520" i="1"/>
  <c r="P520" i="1"/>
  <c r="O520" i="1"/>
  <c r="N520" i="1"/>
  <c r="M520" i="1"/>
  <c r="E520" i="1"/>
  <c r="Q519" i="1"/>
  <c r="P519" i="1"/>
  <c r="O519" i="1"/>
  <c r="N519" i="1"/>
  <c r="M519" i="1"/>
  <c r="E519" i="1"/>
  <c r="P518" i="1"/>
  <c r="O518" i="1"/>
  <c r="Q518" i="1"/>
  <c r="N518" i="1"/>
  <c r="M518" i="1"/>
  <c r="E518" i="1"/>
  <c r="P517" i="1"/>
  <c r="O517" i="1"/>
  <c r="Q517" i="1"/>
  <c r="N517" i="1"/>
  <c r="M517" i="1"/>
  <c r="E517" i="1"/>
  <c r="L516" i="1"/>
  <c r="Q516" i="1"/>
  <c r="P516" i="1"/>
  <c r="O516" i="1"/>
  <c r="N516" i="1"/>
  <c r="M516" i="1"/>
  <c r="E516" i="1"/>
  <c r="P515" i="1"/>
  <c r="O515" i="1"/>
  <c r="Q515" i="1"/>
  <c r="L514" i="1"/>
  <c r="L515" i="1"/>
  <c r="N515" i="1"/>
  <c r="M515" i="1"/>
  <c r="E515" i="1"/>
  <c r="Q514" i="1"/>
  <c r="L513" i="1"/>
  <c r="P513" i="1"/>
  <c r="O513" i="1"/>
  <c r="P514" i="1"/>
  <c r="O514" i="1"/>
  <c r="N514" i="1"/>
  <c r="M514" i="1"/>
  <c r="M513" i="1"/>
  <c r="N513" i="1"/>
  <c r="E514" i="1"/>
  <c r="E513" i="1"/>
  <c r="P512" i="1"/>
  <c r="O512" i="1"/>
  <c r="Q512" i="1"/>
  <c r="L512" i="1"/>
  <c r="N512" i="1"/>
  <c r="M512" i="1"/>
  <c r="E512" i="1"/>
  <c r="P511" i="1"/>
  <c r="O511" i="1"/>
  <c r="Q511" i="1"/>
  <c r="N511" i="1"/>
  <c r="M511" i="1"/>
  <c r="E511" i="1"/>
  <c r="L511" i="1"/>
  <c r="Q510" i="1"/>
  <c r="P510" i="1"/>
  <c r="O510" i="1"/>
  <c r="N510" i="1"/>
  <c r="M510" i="1"/>
  <c r="E510" i="1"/>
  <c r="L510" i="1"/>
  <c r="L509" i="1"/>
  <c r="N509" i="1"/>
  <c r="M509" i="1"/>
  <c r="E509" i="1"/>
  <c r="P509" i="1"/>
  <c r="O509" i="1"/>
  <c r="Q509" i="1"/>
  <c r="Q508" i="1"/>
  <c r="P508" i="1"/>
  <c r="O508" i="1"/>
  <c r="L508" i="1"/>
  <c r="N508" i="1"/>
  <c r="M508" i="1"/>
  <c r="E508" i="1"/>
  <c r="P507" i="1"/>
  <c r="O507" i="1"/>
  <c r="Q507" i="1"/>
  <c r="E507" i="1"/>
  <c r="L507" i="1"/>
  <c r="N507" i="1"/>
  <c r="M507" i="1"/>
  <c r="E506" i="1"/>
  <c r="Q506" i="1"/>
  <c r="P506" i="1"/>
  <c r="O506" i="1"/>
  <c r="L506" i="1"/>
  <c r="N506" i="1"/>
  <c r="M506" i="1"/>
  <c r="P505" i="1"/>
  <c r="O505" i="1"/>
  <c r="Q505" i="1"/>
  <c r="L505" i="1"/>
  <c r="M505" i="1"/>
  <c r="N505" i="1"/>
  <c r="E505" i="1"/>
  <c r="L504" i="1"/>
  <c r="P504" i="1"/>
  <c r="O504" i="1"/>
  <c r="Q504" i="1"/>
  <c r="N503" i="1"/>
  <c r="N504" i="1"/>
  <c r="E504" i="1"/>
  <c r="M504" i="1"/>
  <c r="M503" i="1"/>
  <c r="E503" i="1"/>
  <c r="L503" i="1"/>
  <c r="L502" i="1"/>
  <c r="P503" i="1"/>
  <c r="O503" i="1"/>
  <c r="Q503" i="1"/>
  <c r="Q502" i="1"/>
  <c r="P502" i="1"/>
  <c r="O502" i="1"/>
  <c r="N502" i="1"/>
  <c r="M502" i="1"/>
  <c r="E502" i="1"/>
  <c r="P501" i="1"/>
  <c r="O501" i="1"/>
  <c r="Q501" i="1"/>
  <c r="N501" i="1"/>
  <c r="M501" i="1"/>
  <c r="E501" i="1"/>
  <c r="L501" i="1"/>
  <c r="Q500" i="1"/>
  <c r="P500" i="1"/>
  <c r="O500" i="1"/>
  <c r="N500" i="1"/>
  <c r="M500" i="1"/>
  <c r="E500" i="1"/>
  <c r="L500" i="1"/>
  <c r="P499" i="1"/>
  <c r="O499" i="1"/>
  <c r="Q499" i="1"/>
  <c r="L499" i="1"/>
  <c r="N499" i="1"/>
  <c r="M499" i="1"/>
  <c r="E499" i="1"/>
  <c r="N498" i="1"/>
  <c r="M498" i="1"/>
  <c r="N497" i="1"/>
  <c r="M497" i="1"/>
  <c r="E498" i="1"/>
  <c r="E497" i="1"/>
  <c r="P498" i="1"/>
  <c r="O498" i="1"/>
  <c r="Q498" i="1"/>
  <c r="Q497" i="1"/>
  <c r="P497" i="1"/>
  <c r="O497" i="1"/>
  <c r="L498" i="1"/>
  <c r="L497" i="1"/>
  <c r="Q496" i="1"/>
  <c r="P496" i="1"/>
  <c r="O496" i="1"/>
  <c r="N496" i="1"/>
  <c r="M496" i="1"/>
  <c r="E496" i="1"/>
  <c r="P495" i="1"/>
  <c r="O495" i="1"/>
  <c r="Q495" i="1"/>
  <c r="L495" i="1"/>
  <c r="N495" i="1"/>
  <c r="M495" i="1"/>
  <c r="E495" i="1"/>
  <c r="P494" i="1"/>
  <c r="O494" i="1"/>
  <c r="Q494" i="1"/>
  <c r="L494" i="1"/>
  <c r="N494" i="1"/>
  <c r="M494" i="1"/>
  <c r="E494" i="1"/>
  <c r="Q493" i="1"/>
  <c r="P493" i="1"/>
  <c r="O493" i="1"/>
  <c r="L493" i="1"/>
  <c r="N493" i="1"/>
  <c r="M493" i="1"/>
  <c r="E493" i="1"/>
  <c r="L492" i="1"/>
  <c r="P492" i="1"/>
  <c r="O492" i="1"/>
  <c r="Q492" i="1"/>
  <c r="N492" i="1"/>
  <c r="M492" i="1"/>
  <c r="E492" i="1"/>
  <c r="P491" i="1"/>
  <c r="O491" i="1"/>
  <c r="Q491" i="1"/>
  <c r="L491" i="1"/>
  <c r="N491" i="1"/>
  <c r="M490" i="1"/>
  <c r="M491" i="1"/>
  <c r="E491" i="1"/>
  <c r="Q490" i="1"/>
  <c r="P490" i="1"/>
  <c r="O490" i="1"/>
  <c r="L490" i="1"/>
  <c r="N490" i="1"/>
  <c r="E490" i="1"/>
  <c r="P489" i="1"/>
  <c r="O489" i="1"/>
  <c r="Q489" i="1"/>
  <c r="L489" i="1"/>
  <c r="N489" i="1"/>
  <c r="M489" i="1"/>
  <c r="E489" i="1"/>
  <c r="Q488" i="1"/>
  <c r="P488" i="1"/>
  <c r="O488" i="1"/>
  <c r="L488" i="1"/>
  <c r="N488" i="1"/>
  <c r="M488" i="1"/>
  <c r="E488" i="1"/>
  <c r="P487" i="1"/>
  <c r="O487" i="1"/>
  <c r="Q487" i="1"/>
  <c r="L487" i="1"/>
  <c r="N487" i="1"/>
  <c r="M487" i="1"/>
  <c r="E487" i="1"/>
  <c r="L486" i="1"/>
  <c r="N486" i="1"/>
  <c r="M486" i="1"/>
  <c r="E486" i="1"/>
  <c r="P486" i="1"/>
  <c r="O486" i="1"/>
  <c r="Q486" i="1"/>
  <c r="P485" i="1"/>
  <c r="O485" i="1"/>
  <c r="Q485" i="1"/>
  <c r="L485" i="1"/>
  <c r="L484" i="1"/>
  <c r="N485" i="1"/>
  <c r="M485" i="1"/>
  <c r="E485" i="1"/>
  <c r="E484" i="1"/>
  <c r="N484" i="1"/>
  <c r="M484" i="1"/>
  <c r="P484" i="1"/>
  <c r="O484" i="1"/>
  <c r="Q484" i="1"/>
  <c r="P483" i="1"/>
  <c r="O483" i="1"/>
  <c r="Q483" i="1"/>
  <c r="L483" i="1"/>
  <c r="N483" i="1"/>
  <c r="M483" i="1"/>
  <c r="E483" i="1"/>
  <c r="Q482" i="1"/>
  <c r="P482" i="1"/>
  <c r="O482" i="1"/>
  <c r="L482" i="1"/>
  <c r="M482" i="1"/>
  <c r="N482" i="1"/>
  <c r="E482" i="1"/>
  <c r="N481" i="1"/>
  <c r="M481" i="1"/>
  <c r="E481" i="1"/>
  <c r="L481" i="1"/>
  <c r="P481" i="1"/>
  <c r="O481" i="1"/>
  <c r="Q481" i="1"/>
  <c r="P480" i="1"/>
  <c r="O480" i="1"/>
  <c r="Q480" i="1"/>
  <c r="N480" i="1"/>
  <c r="M480" i="1"/>
  <c r="E480" i="1"/>
  <c r="L480" i="1"/>
  <c r="P479" i="1"/>
  <c r="O479" i="1"/>
  <c r="Q479" i="1"/>
  <c r="L479" i="1"/>
  <c r="N478" i="1"/>
  <c r="N479" i="1"/>
  <c r="M479" i="1"/>
  <c r="E479" i="1"/>
  <c r="Q478" i="1"/>
  <c r="P478" i="1"/>
  <c r="O478" i="1"/>
  <c r="M478" i="1"/>
  <c r="L478" i="1"/>
  <c r="E478" i="1"/>
  <c r="Q477" i="1"/>
  <c r="P477" i="1"/>
  <c r="O477" i="1"/>
  <c r="N477" i="1"/>
  <c r="M477" i="1"/>
  <c r="L477" i="1"/>
  <c r="E477" i="1"/>
  <c r="Q476" i="1"/>
  <c r="P476" i="1"/>
  <c r="O476" i="1"/>
  <c r="P475" i="1"/>
  <c r="O475" i="1"/>
  <c r="L476" i="1"/>
  <c r="N476" i="1"/>
  <c r="M476" i="1"/>
  <c r="E476" i="1"/>
  <c r="L475" i="1"/>
  <c r="N475" i="1"/>
  <c r="M475" i="1"/>
  <c r="E475" i="1"/>
  <c r="E474" i="1"/>
  <c r="L474" i="1"/>
  <c r="N474" i="1"/>
  <c r="M474" i="1"/>
  <c r="L473" i="1"/>
  <c r="Q473" i="1"/>
  <c r="N473" i="1"/>
  <c r="M473" i="1"/>
  <c r="H473" i="1"/>
  <c r="E473" i="1"/>
  <c r="E472" i="1"/>
  <c r="N472" i="1"/>
  <c r="M472" i="1"/>
  <c r="Q472" i="1"/>
  <c r="L472" i="1"/>
  <c r="O471" i="1"/>
  <c r="P471" i="1"/>
  <c r="Q471" i="1"/>
  <c r="L471" i="1"/>
  <c r="N471" i="1"/>
  <c r="M471" i="1"/>
  <c r="E471" i="1"/>
  <c r="P470" i="1"/>
  <c r="O470" i="1"/>
  <c r="Q470" i="1"/>
  <c r="L470" i="1"/>
  <c r="N470" i="1"/>
  <c r="M470" i="1"/>
  <c r="E470" i="1"/>
  <c r="P469" i="1"/>
  <c r="O469" i="1"/>
  <c r="Q469" i="1"/>
  <c r="N469" i="1"/>
  <c r="M469" i="1"/>
  <c r="H469" i="1"/>
  <c r="E469" i="1"/>
  <c r="L469" i="1"/>
  <c r="P468" i="1"/>
  <c r="O468" i="1"/>
  <c r="Q468" i="1"/>
  <c r="L468" i="1"/>
  <c r="N468" i="1"/>
  <c r="M468" i="1"/>
  <c r="H468" i="1"/>
  <c r="E468" i="1"/>
  <c r="P467" i="1"/>
  <c r="O467" i="1"/>
  <c r="Q467" i="1"/>
  <c r="L467" i="1"/>
  <c r="N467" i="1"/>
  <c r="M467" i="1"/>
  <c r="H467" i="1"/>
  <c r="E467" i="1"/>
  <c r="P466" i="1"/>
  <c r="O466" i="1"/>
  <c r="Q466" i="1"/>
  <c r="L466" i="1"/>
  <c r="N466" i="1"/>
  <c r="N465" i="1"/>
  <c r="M466" i="1"/>
  <c r="H466" i="1"/>
  <c r="E466" i="1"/>
  <c r="Q465" i="1"/>
  <c r="P465" i="1"/>
  <c r="O465" i="1"/>
  <c r="L465" i="1"/>
  <c r="M465" i="1"/>
  <c r="H465" i="1"/>
  <c r="E465" i="1"/>
  <c r="P464" i="1"/>
  <c r="O464" i="1"/>
  <c r="Q464" i="1"/>
  <c r="L464" i="1"/>
  <c r="N464" i="1"/>
  <c r="M464" i="1"/>
  <c r="H464" i="1"/>
  <c r="E464" i="1"/>
  <c r="E463" i="1"/>
  <c r="P463" i="1"/>
  <c r="O463" i="1"/>
  <c r="Q463" i="1"/>
  <c r="O462" i="1"/>
  <c r="L463" i="1"/>
  <c r="N463" i="1"/>
  <c r="M463" i="1"/>
  <c r="H463" i="1"/>
  <c r="E462" i="1"/>
  <c r="Q462" i="1"/>
  <c r="P462" i="1"/>
  <c r="L462" i="1"/>
  <c r="N462" i="1"/>
  <c r="M462" i="1"/>
  <c r="H462" i="1"/>
  <c r="E461" i="1"/>
  <c r="Q461" i="1"/>
  <c r="P461" i="1"/>
  <c r="O461" i="1"/>
  <c r="M461" i="1"/>
  <c r="N461" i="1"/>
  <c r="L461" i="1"/>
  <c r="H461" i="1"/>
  <c r="Q460" i="1"/>
  <c r="P460" i="1"/>
  <c r="O460" i="1"/>
  <c r="H460" i="1"/>
  <c r="L460" i="1"/>
  <c r="M460" i="1"/>
  <c r="N460" i="1"/>
  <c r="E460" i="1"/>
  <c r="P459" i="1"/>
  <c r="O459" i="1"/>
  <c r="Q459" i="1"/>
  <c r="L459" i="1"/>
  <c r="N459" i="1"/>
  <c r="M459" i="1"/>
  <c r="H459" i="1"/>
  <c r="E459" i="1"/>
  <c r="Q458" i="1"/>
  <c r="P458" i="1"/>
  <c r="O458" i="1"/>
  <c r="L458" i="1"/>
  <c r="N458" i="1"/>
  <c r="M458" i="1"/>
  <c r="H458" i="1"/>
  <c r="E458" i="1"/>
  <c r="Q457" i="1"/>
  <c r="P457" i="1"/>
  <c r="O457" i="1"/>
  <c r="L457" i="1"/>
  <c r="M457" i="1"/>
  <c r="N457" i="1"/>
  <c r="H457" i="1"/>
  <c r="E457" i="1"/>
  <c r="O456" i="1"/>
  <c r="P456" i="1"/>
  <c r="Q456" i="1"/>
  <c r="L456" i="1"/>
  <c r="N456" i="1"/>
  <c r="M456" i="1"/>
  <c r="H456" i="1"/>
  <c r="E456" i="1"/>
  <c r="P455" i="1"/>
  <c r="O455" i="1"/>
  <c r="Q455" i="1"/>
  <c r="L455" i="1"/>
  <c r="N455" i="1"/>
  <c r="M455" i="1"/>
  <c r="H455" i="1"/>
  <c r="E455" i="1"/>
  <c r="P454" i="1"/>
  <c r="O454" i="1"/>
  <c r="Q454" i="1"/>
  <c r="L454" i="1"/>
  <c r="N454" i="1"/>
  <c r="M454" i="1"/>
  <c r="H454" i="1"/>
  <c r="E454" i="1"/>
  <c r="L453" i="1"/>
  <c r="Q453" i="1"/>
  <c r="P453" i="1"/>
  <c r="O453" i="1"/>
  <c r="N453" i="1"/>
  <c r="N452" i="1"/>
  <c r="M453" i="1"/>
  <c r="H453" i="1"/>
  <c r="E453" i="1"/>
  <c r="P452" i="1"/>
  <c r="O452" i="1"/>
  <c r="Q452" i="1"/>
  <c r="L452" i="1"/>
  <c r="M452" i="1"/>
  <c r="H452" i="1"/>
  <c r="E452" i="1"/>
  <c r="H451" i="1"/>
  <c r="N451" i="1"/>
  <c r="M451" i="1"/>
  <c r="E451" i="1"/>
  <c r="L451" i="1"/>
  <c r="P451" i="1"/>
  <c r="O451" i="1"/>
  <c r="Q451" i="1"/>
  <c r="P450" i="1"/>
  <c r="O450" i="1"/>
  <c r="Q450" i="1"/>
  <c r="L450" i="1"/>
  <c r="N450" i="1"/>
  <c r="M450" i="1"/>
  <c r="H450" i="1"/>
  <c r="E450" i="1"/>
  <c r="P449" i="1"/>
  <c r="O449" i="1"/>
  <c r="Q449" i="1"/>
  <c r="L449" i="1"/>
  <c r="N449" i="1"/>
  <c r="M449" i="1"/>
  <c r="H449" i="1"/>
  <c r="E449" i="1"/>
  <c r="P448" i="1"/>
  <c r="O448" i="1"/>
  <c r="Q448" i="1"/>
  <c r="L448" i="1"/>
  <c r="N448" i="1"/>
  <c r="M448" i="1"/>
  <c r="H448" i="1"/>
  <c r="E448" i="1"/>
  <c r="N447" i="1"/>
  <c r="M447" i="1"/>
  <c r="H447" i="1"/>
  <c r="E447" i="1"/>
  <c r="L447" i="1"/>
  <c r="Q447" i="1"/>
  <c r="P447" i="1"/>
  <c r="O447" i="1"/>
  <c r="P446" i="1"/>
  <c r="O446" i="1"/>
  <c r="Q446" i="1"/>
  <c r="H446" i="1"/>
  <c r="L446" i="1"/>
  <c r="N446" i="1"/>
  <c r="M446" i="1"/>
  <c r="E446" i="1"/>
  <c r="E445" i="1"/>
  <c r="P445" i="1"/>
  <c r="O445" i="1"/>
  <c r="Q445" i="1"/>
  <c r="L445" i="1"/>
  <c r="N445" i="1"/>
  <c r="M445" i="1"/>
  <c r="H445" i="1"/>
  <c r="Q444" i="1"/>
  <c r="P444" i="1"/>
  <c r="O444" i="1"/>
  <c r="L444" i="1"/>
  <c r="N444" i="1"/>
  <c r="M444" i="1"/>
  <c r="H444" i="1"/>
  <c r="E444" i="1"/>
  <c r="P443" i="1"/>
  <c r="O443" i="1"/>
  <c r="Q443" i="1"/>
  <c r="L443" i="1"/>
  <c r="N443" i="1"/>
  <c r="M443" i="1"/>
  <c r="H443" i="1"/>
  <c r="E442" i="1"/>
  <c r="E443" i="1"/>
  <c r="Q442" i="1"/>
  <c r="P442" i="1"/>
  <c r="O442" i="1"/>
  <c r="L442" i="1"/>
  <c r="N442" i="1"/>
  <c r="M442" i="1"/>
  <c r="H442" i="1"/>
  <c r="M441" i="1"/>
  <c r="N441" i="1"/>
  <c r="L441" i="1"/>
  <c r="H441" i="1"/>
  <c r="E440" i="1"/>
  <c r="E441" i="1"/>
  <c r="P441" i="1"/>
  <c r="O441" i="1"/>
  <c r="Q441" i="1"/>
  <c r="P440" i="1"/>
  <c r="O440" i="1"/>
  <c r="Q440" i="1"/>
  <c r="L440" i="1"/>
  <c r="N440" i="1"/>
  <c r="M440" i="1"/>
  <c r="H440" i="1"/>
  <c r="L439" i="1"/>
  <c r="Q439" i="1"/>
  <c r="P439" i="1"/>
  <c r="O439" i="1"/>
  <c r="P438" i="1"/>
  <c r="O438" i="1"/>
  <c r="N439" i="1"/>
  <c r="M439" i="1"/>
  <c r="H439" i="1"/>
  <c r="E439" i="1"/>
  <c r="L438" i="1"/>
  <c r="Q438" i="1"/>
  <c r="N438" i="1"/>
  <c r="N437" i="1"/>
  <c r="M438" i="1"/>
  <c r="M437" i="1"/>
  <c r="H437" i="1"/>
  <c r="H438" i="1"/>
  <c r="E438" i="1"/>
  <c r="E437" i="1"/>
  <c r="L437" i="1"/>
  <c r="P437" i="1"/>
  <c r="O437" i="1"/>
  <c r="Q437" i="1"/>
  <c r="O436" i="1"/>
  <c r="Q436" i="1"/>
  <c r="P436" i="1"/>
  <c r="N436" i="1"/>
  <c r="M436" i="1"/>
  <c r="E436" i="1"/>
  <c r="H436" i="1"/>
  <c r="H435" i="1"/>
  <c r="L436" i="1"/>
  <c r="P435" i="1"/>
  <c r="O435" i="1"/>
  <c r="Q435" i="1"/>
  <c r="L435" i="1"/>
  <c r="M435" i="1"/>
  <c r="N435" i="1"/>
  <c r="E435" i="1"/>
  <c r="P434" i="1"/>
  <c r="O434" i="1"/>
  <c r="Q434" i="1"/>
  <c r="L434" i="1"/>
  <c r="N434" i="1"/>
  <c r="M434" i="1"/>
  <c r="H434" i="1"/>
  <c r="E434" i="1"/>
  <c r="E433" i="1"/>
  <c r="Q433" i="1"/>
  <c r="P433" i="1"/>
  <c r="O433" i="1"/>
  <c r="N433" i="1"/>
  <c r="M433" i="1"/>
  <c r="H433" i="1"/>
  <c r="L433" i="1"/>
  <c r="P432" i="1"/>
  <c r="O432" i="1"/>
  <c r="Q432" i="1"/>
  <c r="L432" i="1"/>
  <c r="N432" i="1"/>
  <c r="M432" i="1"/>
  <c r="H432" i="1"/>
  <c r="E432" i="1"/>
  <c r="Q431" i="1"/>
  <c r="P431" i="1"/>
  <c r="O431" i="1"/>
  <c r="L431" i="1"/>
  <c r="M431" i="1"/>
  <c r="N431" i="1"/>
  <c r="H431" i="1"/>
  <c r="E431" i="1"/>
  <c r="M430" i="1"/>
  <c r="N430" i="1"/>
  <c r="H430" i="1"/>
  <c r="E430" i="1"/>
  <c r="P430" i="1"/>
  <c r="O430" i="1"/>
  <c r="Q430" i="1"/>
  <c r="L430" i="1"/>
  <c r="P429" i="1"/>
  <c r="O429" i="1"/>
  <c r="Q429" i="1"/>
  <c r="L429" i="1"/>
  <c r="N429" i="1"/>
  <c r="M429" i="1"/>
  <c r="H429" i="1"/>
  <c r="E429" i="1"/>
  <c r="P428" i="1"/>
  <c r="O428" i="1"/>
  <c r="Q428" i="1"/>
  <c r="N428" i="1"/>
  <c r="M428" i="1"/>
  <c r="L428" i="1"/>
  <c r="H428" i="1"/>
  <c r="E428" i="1"/>
  <c r="Q427" i="1"/>
  <c r="P427" i="1"/>
  <c r="O427" i="1"/>
  <c r="L427" i="1"/>
  <c r="N427" i="1"/>
  <c r="M427" i="1"/>
  <c r="H427" i="1"/>
  <c r="E427" i="1"/>
  <c r="N426" i="1"/>
  <c r="M426" i="1"/>
  <c r="H426" i="1"/>
  <c r="E426" i="1"/>
  <c r="Q426" i="1"/>
  <c r="P426" i="1"/>
  <c r="O426" i="1"/>
  <c r="L426" i="1"/>
  <c r="Q425" i="1"/>
  <c r="P425" i="1"/>
  <c r="O425" i="1"/>
  <c r="N425" i="1"/>
  <c r="M425" i="1"/>
  <c r="L425" i="1"/>
  <c r="H425" i="1"/>
  <c r="E425" i="1"/>
  <c r="Q424" i="1"/>
  <c r="P424" i="1"/>
  <c r="O424" i="1"/>
  <c r="N424" i="1"/>
  <c r="M424" i="1"/>
  <c r="L424" i="1"/>
  <c r="H424" i="1"/>
  <c r="E424" i="1"/>
  <c r="E423" i="1"/>
  <c r="L422" i="1"/>
  <c r="L423" i="1"/>
  <c r="N423" i="1"/>
  <c r="M423" i="1"/>
  <c r="H423" i="1"/>
  <c r="Q419" i="1"/>
  <c r="P419" i="1"/>
  <c r="O419" i="1"/>
  <c r="Q418" i="1"/>
  <c r="P418" i="1"/>
  <c r="O418" i="1"/>
  <c r="N422" i="1"/>
  <c r="N421" i="1"/>
  <c r="M422" i="1"/>
  <c r="M421" i="1"/>
  <c r="H422" i="1"/>
  <c r="H421" i="1"/>
  <c r="E422" i="1"/>
  <c r="E421" i="1"/>
  <c r="L420" i="1"/>
  <c r="L419" i="1"/>
  <c r="N420" i="1"/>
  <c r="M420" i="1"/>
  <c r="M419" i="1"/>
  <c r="N419" i="1"/>
  <c r="L421" i="1"/>
  <c r="H420" i="1"/>
  <c r="H419" i="1"/>
  <c r="E420" i="1"/>
  <c r="E419" i="1"/>
  <c r="N418" i="1"/>
  <c r="M418" i="1"/>
  <c r="H418" i="1"/>
  <c r="E418" i="1"/>
  <c r="L418" i="1"/>
  <c r="N417" i="1"/>
  <c r="M417" i="1"/>
  <c r="H417" i="1"/>
  <c r="E417" i="1"/>
  <c r="L417" i="1"/>
  <c r="P417" i="1"/>
  <c r="O417" i="1"/>
  <c r="Q417" i="1"/>
  <c r="N416" i="1"/>
  <c r="M416" i="1"/>
  <c r="H416" i="1"/>
  <c r="E416" i="1"/>
  <c r="L85" i="1"/>
  <c r="O85" i="1"/>
  <c r="P85" i="1"/>
  <c r="Q85" i="1"/>
  <c r="L101" i="1"/>
  <c r="O101" i="1"/>
  <c r="P101" i="1"/>
  <c r="F193" i="1"/>
  <c r="F236" i="1"/>
  <c r="N236" i="1"/>
  <c r="O236" i="1"/>
  <c r="P236" i="1"/>
  <c r="Q236" i="1"/>
  <c r="E237" i="1"/>
  <c r="F237" i="1"/>
  <c r="L237" i="1"/>
  <c r="N237" i="1"/>
  <c r="E238" i="1"/>
  <c r="F238" i="1"/>
  <c r="L238" i="1"/>
  <c r="N238" i="1"/>
  <c r="E239" i="1"/>
  <c r="F239" i="1"/>
  <c r="L239" i="1"/>
  <c r="N239" i="1"/>
  <c r="E240" i="1"/>
  <c r="F240" i="1"/>
  <c r="L240" i="1"/>
  <c r="E241" i="1"/>
  <c r="F241" i="1"/>
  <c r="E242" i="1"/>
  <c r="F242" i="1"/>
  <c r="N242" i="1"/>
  <c r="E243" i="1"/>
  <c r="F243" i="1"/>
  <c r="O243" i="1"/>
  <c r="P243" i="1"/>
  <c r="E244" i="1"/>
  <c r="F244" i="1"/>
  <c r="O244" i="1"/>
  <c r="P244" i="1"/>
  <c r="E245" i="1"/>
  <c r="F245" i="1"/>
  <c r="L245" i="1"/>
  <c r="O245" i="1"/>
  <c r="E246" i="1"/>
  <c r="F246" i="1"/>
  <c r="E247" i="1"/>
  <c r="F247" i="1"/>
  <c r="N247" i="1"/>
  <c r="E248" i="1"/>
  <c r="F248" i="1"/>
  <c r="N248" i="1"/>
  <c r="E249" i="1"/>
  <c r="F249" i="1"/>
  <c r="N249" i="1"/>
  <c r="E250" i="1"/>
  <c r="F250" i="1"/>
  <c r="N250" i="1"/>
  <c r="E251" i="1"/>
  <c r="F251" i="1"/>
  <c r="M251" i="1"/>
  <c r="N251" i="1"/>
  <c r="E252" i="1"/>
  <c r="F252" i="1"/>
  <c r="M252" i="1"/>
  <c r="N252" i="1"/>
  <c r="E253" i="1"/>
  <c r="F253" i="1"/>
  <c r="M253" i="1"/>
  <c r="N253" i="1"/>
  <c r="E254" i="1"/>
  <c r="F254" i="1"/>
  <c r="M254" i="1"/>
  <c r="N254" i="1"/>
  <c r="E255" i="1"/>
  <c r="F255" i="1"/>
  <c r="M255" i="1"/>
  <c r="N255" i="1"/>
  <c r="E256" i="1"/>
  <c r="F256" i="1"/>
  <c r="L256" i="1"/>
  <c r="M256" i="1"/>
  <c r="N256" i="1"/>
  <c r="E257" i="1"/>
  <c r="L257" i="1"/>
  <c r="M257" i="1"/>
  <c r="N257" i="1"/>
  <c r="E258" i="1"/>
  <c r="L258" i="1"/>
  <c r="M258" i="1"/>
  <c r="N258" i="1"/>
  <c r="E259" i="1"/>
  <c r="M259" i="1"/>
  <c r="N259" i="1"/>
  <c r="E260" i="1"/>
  <c r="M260" i="1"/>
  <c r="N260" i="1"/>
  <c r="E262" i="1"/>
  <c r="E263" i="1"/>
  <c r="L263" i="1"/>
  <c r="E264" i="1"/>
  <c r="L264" i="1"/>
  <c r="E265" i="1"/>
  <c r="N266" i="1"/>
  <c r="E267" i="1"/>
  <c r="M268" i="1"/>
  <c r="N268" i="1"/>
  <c r="E269" i="1"/>
  <c r="M269" i="1"/>
  <c r="N269" i="1"/>
  <c r="E270" i="1"/>
  <c r="M270" i="1"/>
  <c r="N270" i="1"/>
  <c r="E271" i="1"/>
  <c r="M271" i="1"/>
  <c r="N271" i="1"/>
  <c r="Q271" i="1"/>
  <c r="E272" i="1"/>
  <c r="M272" i="1"/>
  <c r="N272" i="1"/>
  <c r="Q272" i="1"/>
  <c r="E273" i="1"/>
  <c r="M273" i="1"/>
  <c r="N273" i="1"/>
  <c r="Q273" i="1"/>
  <c r="E274" i="1"/>
  <c r="M274" i="1"/>
  <c r="N274" i="1"/>
  <c r="Q274" i="1"/>
  <c r="E275" i="1"/>
  <c r="L275" i="1"/>
  <c r="M275" i="1"/>
  <c r="N275" i="1"/>
  <c r="Q275" i="1"/>
  <c r="E276" i="1"/>
  <c r="L276" i="1"/>
  <c r="M276" i="1"/>
  <c r="N276" i="1"/>
  <c r="Q276" i="1"/>
  <c r="E277" i="1"/>
  <c r="L277" i="1"/>
  <c r="M277" i="1"/>
  <c r="N277" i="1"/>
  <c r="Q277" i="1"/>
  <c r="E278" i="1"/>
  <c r="L278" i="1"/>
  <c r="M278" i="1"/>
  <c r="N278" i="1"/>
  <c r="Q278" i="1"/>
  <c r="E279" i="1"/>
  <c r="M279" i="1"/>
  <c r="N279" i="1"/>
  <c r="M280" i="1"/>
  <c r="N280" i="1"/>
  <c r="E281" i="1"/>
  <c r="L281" i="1"/>
  <c r="M281" i="1"/>
  <c r="N281" i="1"/>
  <c r="Q281" i="1"/>
  <c r="E282" i="1"/>
  <c r="L282" i="1"/>
  <c r="N282" i="1"/>
  <c r="Q282" i="1"/>
  <c r="E283" i="1"/>
  <c r="L283" i="1"/>
  <c r="N283" i="1"/>
  <c r="E284" i="1"/>
  <c r="N284" i="1"/>
  <c r="Q284" i="1"/>
  <c r="E285" i="1"/>
  <c r="L285" i="1"/>
  <c r="N285" i="1"/>
  <c r="Q285" i="1"/>
  <c r="L286" i="1"/>
  <c r="N286" i="1"/>
  <c r="P286" i="1"/>
  <c r="Q286" i="1"/>
  <c r="E287" i="1"/>
  <c r="L287" i="1"/>
  <c r="N287" i="1"/>
  <c r="O287" i="1"/>
  <c r="P287" i="1"/>
  <c r="Q287" i="1"/>
  <c r="E288" i="1"/>
  <c r="M288" i="1"/>
  <c r="N288" i="1"/>
  <c r="O288" i="1"/>
  <c r="P288" i="1"/>
  <c r="Q288" i="1"/>
  <c r="E289" i="1"/>
  <c r="M289" i="1"/>
  <c r="N289" i="1"/>
  <c r="O289" i="1"/>
  <c r="P289" i="1"/>
  <c r="Q289" i="1"/>
  <c r="E290" i="1"/>
  <c r="M290" i="1"/>
  <c r="N290" i="1"/>
  <c r="O290" i="1"/>
  <c r="P290" i="1"/>
  <c r="Q290" i="1"/>
  <c r="E291" i="1"/>
  <c r="L291" i="1"/>
  <c r="M291" i="1"/>
  <c r="N291" i="1"/>
  <c r="O291" i="1"/>
  <c r="P291" i="1"/>
  <c r="Q291" i="1"/>
  <c r="E292" i="1"/>
  <c r="M292" i="1"/>
  <c r="N292" i="1"/>
  <c r="O292" i="1"/>
  <c r="P292" i="1"/>
  <c r="Q292" i="1"/>
  <c r="E293" i="1"/>
  <c r="M293" i="1"/>
  <c r="N293" i="1"/>
  <c r="O293" i="1"/>
  <c r="P293" i="1"/>
  <c r="Q293" i="1"/>
  <c r="E294" i="1"/>
  <c r="L294" i="1"/>
  <c r="M294" i="1"/>
  <c r="N294" i="1"/>
  <c r="O294" i="1"/>
  <c r="P294" i="1"/>
  <c r="Q294" i="1"/>
  <c r="E295" i="1"/>
  <c r="L295" i="1"/>
  <c r="M295" i="1"/>
  <c r="N295" i="1"/>
  <c r="O295" i="1"/>
  <c r="P295" i="1"/>
  <c r="Q295" i="1"/>
  <c r="M296" i="1"/>
  <c r="N296" i="1"/>
  <c r="O296" i="1"/>
  <c r="P296" i="1"/>
  <c r="Q296" i="1"/>
  <c r="E297" i="1"/>
  <c r="F297" i="1"/>
  <c r="L297" i="1"/>
  <c r="O297" i="1"/>
  <c r="P297" i="1"/>
  <c r="Q297" i="1"/>
  <c r="E298" i="1"/>
  <c r="M298" i="1"/>
  <c r="N298" i="1"/>
  <c r="O298" i="1"/>
  <c r="P298" i="1"/>
  <c r="Q298" i="1"/>
  <c r="E299" i="1"/>
  <c r="M299" i="1"/>
  <c r="N299" i="1"/>
  <c r="O299" i="1"/>
  <c r="P299" i="1"/>
  <c r="Q299" i="1"/>
  <c r="E300" i="1"/>
  <c r="M300" i="1"/>
  <c r="N300" i="1"/>
  <c r="E301" i="1"/>
  <c r="M301" i="1"/>
  <c r="N301" i="1"/>
  <c r="O301" i="1"/>
  <c r="P301" i="1"/>
  <c r="Q301" i="1"/>
  <c r="E302" i="1"/>
  <c r="M302" i="1"/>
  <c r="N302" i="1"/>
  <c r="O302" i="1"/>
  <c r="P302" i="1"/>
  <c r="Q302" i="1"/>
  <c r="E303" i="1"/>
  <c r="M303" i="1"/>
  <c r="N303" i="1"/>
  <c r="O303" i="1"/>
  <c r="P303" i="1"/>
  <c r="Q303" i="1"/>
  <c r="E304" i="1"/>
  <c r="L304" i="1"/>
  <c r="M304" i="1"/>
  <c r="N304" i="1"/>
  <c r="O304" i="1"/>
  <c r="P304" i="1"/>
  <c r="Q304" i="1"/>
  <c r="E305" i="1"/>
  <c r="L305" i="1"/>
  <c r="M305" i="1"/>
  <c r="N305" i="1"/>
  <c r="O305" i="1"/>
  <c r="P305" i="1"/>
  <c r="Q305" i="1"/>
  <c r="E306" i="1"/>
  <c r="L306" i="1"/>
  <c r="M306" i="1"/>
  <c r="N306" i="1"/>
  <c r="O306" i="1"/>
  <c r="P306" i="1"/>
  <c r="Q306" i="1"/>
  <c r="E307" i="1"/>
  <c r="L307" i="1"/>
  <c r="M307" i="1"/>
  <c r="N307" i="1"/>
  <c r="O307" i="1"/>
  <c r="P307" i="1"/>
  <c r="Q307" i="1"/>
  <c r="E308" i="1"/>
  <c r="L308" i="1"/>
  <c r="M308" i="1"/>
  <c r="N308" i="1"/>
  <c r="O308" i="1"/>
  <c r="P308" i="1"/>
  <c r="Q308" i="1"/>
  <c r="E309" i="1"/>
  <c r="L309" i="1"/>
  <c r="M309" i="1"/>
  <c r="N309" i="1"/>
  <c r="O309" i="1"/>
  <c r="P309" i="1"/>
  <c r="Q309" i="1"/>
  <c r="E310" i="1"/>
  <c r="L310" i="1"/>
  <c r="M310" i="1"/>
  <c r="N310" i="1"/>
  <c r="O310" i="1"/>
  <c r="P310" i="1"/>
  <c r="Q310" i="1"/>
  <c r="E311" i="1"/>
  <c r="L311" i="1"/>
  <c r="M311" i="1"/>
  <c r="N311" i="1"/>
  <c r="O311" i="1"/>
  <c r="P311" i="1"/>
  <c r="Q311" i="1"/>
  <c r="E312" i="1"/>
  <c r="L312" i="1"/>
  <c r="M312" i="1"/>
  <c r="N312" i="1"/>
  <c r="O312" i="1"/>
  <c r="P312" i="1"/>
  <c r="Q312" i="1"/>
  <c r="E313" i="1"/>
  <c r="L313" i="1"/>
  <c r="M313" i="1"/>
  <c r="N313" i="1"/>
  <c r="O313" i="1"/>
  <c r="P313" i="1"/>
  <c r="Q313" i="1"/>
  <c r="E314" i="1"/>
  <c r="L314" i="1"/>
  <c r="M314" i="1"/>
  <c r="N314" i="1"/>
  <c r="O314" i="1"/>
  <c r="P314" i="1"/>
  <c r="Q314" i="1"/>
  <c r="E315" i="1"/>
  <c r="L315" i="1"/>
  <c r="M315" i="1"/>
  <c r="N315" i="1"/>
  <c r="O315" i="1"/>
  <c r="P315" i="1"/>
  <c r="Q315" i="1"/>
  <c r="E316" i="1"/>
  <c r="L316" i="1"/>
  <c r="M316" i="1"/>
  <c r="N316" i="1"/>
  <c r="O316" i="1"/>
  <c r="P316" i="1"/>
  <c r="Q316" i="1"/>
  <c r="E317" i="1"/>
  <c r="L317" i="1"/>
  <c r="M317" i="1"/>
  <c r="N317" i="1"/>
  <c r="E318" i="1"/>
  <c r="L318" i="1"/>
  <c r="M318" i="1"/>
  <c r="N318" i="1"/>
  <c r="E319" i="1"/>
  <c r="L319" i="1"/>
  <c r="M319" i="1"/>
  <c r="N319" i="1"/>
  <c r="E320" i="1"/>
  <c r="L320" i="1"/>
  <c r="M320" i="1"/>
  <c r="N320" i="1"/>
  <c r="O320" i="1"/>
  <c r="P320" i="1"/>
  <c r="Q320" i="1"/>
  <c r="E321" i="1"/>
  <c r="L321" i="1"/>
  <c r="M321" i="1"/>
  <c r="N321" i="1"/>
  <c r="O321" i="1"/>
  <c r="P321" i="1"/>
  <c r="Q321" i="1"/>
  <c r="E322" i="1"/>
  <c r="L322" i="1"/>
  <c r="M322" i="1"/>
  <c r="N322" i="1"/>
  <c r="O322" i="1"/>
  <c r="P322" i="1"/>
  <c r="Q322" i="1"/>
  <c r="E323" i="1"/>
  <c r="L323" i="1"/>
  <c r="M323" i="1"/>
  <c r="N323" i="1"/>
  <c r="O323" i="1"/>
  <c r="P323" i="1"/>
  <c r="Q323" i="1"/>
  <c r="E324" i="1"/>
  <c r="L324" i="1"/>
  <c r="M324" i="1"/>
  <c r="N324" i="1"/>
  <c r="O324" i="1"/>
  <c r="P324" i="1"/>
  <c r="Q324" i="1"/>
  <c r="E325" i="1"/>
  <c r="L325" i="1"/>
  <c r="M325" i="1"/>
  <c r="N325" i="1"/>
  <c r="O325" i="1"/>
  <c r="P325" i="1"/>
  <c r="Q325" i="1"/>
  <c r="L326" i="1"/>
  <c r="M326" i="1"/>
  <c r="N326" i="1"/>
  <c r="O326" i="1"/>
  <c r="P326" i="1"/>
  <c r="Q326" i="1"/>
  <c r="E327" i="1"/>
  <c r="H327" i="1"/>
  <c r="L327" i="1"/>
  <c r="M327" i="1"/>
  <c r="N327" i="1"/>
  <c r="O327" i="1"/>
  <c r="P327" i="1"/>
  <c r="Q327" i="1"/>
  <c r="E328" i="1"/>
  <c r="H328" i="1"/>
  <c r="M328" i="1"/>
  <c r="N328" i="1"/>
  <c r="O328" i="1"/>
  <c r="P328" i="1"/>
  <c r="E329" i="1"/>
  <c r="H329" i="1"/>
  <c r="L329" i="1"/>
  <c r="M329" i="1"/>
  <c r="N329" i="1"/>
  <c r="O329" i="1"/>
  <c r="P329" i="1"/>
  <c r="E330" i="1"/>
  <c r="H330" i="1"/>
  <c r="L330" i="1"/>
  <c r="M330" i="1"/>
  <c r="N330" i="1"/>
  <c r="O330" i="1"/>
  <c r="P330" i="1"/>
  <c r="Q330" i="1"/>
  <c r="E331" i="1"/>
  <c r="H331" i="1"/>
  <c r="L331" i="1"/>
  <c r="M331" i="1"/>
  <c r="N331" i="1"/>
  <c r="O331" i="1"/>
  <c r="P331" i="1"/>
  <c r="Q331" i="1"/>
  <c r="E332" i="1"/>
  <c r="H332" i="1"/>
  <c r="L332" i="1"/>
  <c r="M332" i="1"/>
  <c r="N332" i="1"/>
  <c r="O332" i="1"/>
  <c r="P332" i="1"/>
  <c r="Q332" i="1"/>
  <c r="E333" i="1"/>
  <c r="H333" i="1"/>
  <c r="L333" i="1"/>
  <c r="M333" i="1"/>
  <c r="N333" i="1"/>
  <c r="O333" i="1"/>
  <c r="P333" i="1"/>
  <c r="Q333" i="1"/>
  <c r="E334" i="1"/>
  <c r="H334" i="1"/>
  <c r="L334" i="1"/>
  <c r="M334" i="1"/>
  <c r="N334" i="1"/>
  <c r="O334" i="1"/>
  <c r="P334" i="1"/>
  <c r="Q334" i="1"/>
  <c r="E335" i="1"/>
  <c r="H335" i="1"/>
  <c r="L335" i="1"/>
  <c r="M335" i="1"/>
  <c r="N335" i="1"/>
  <c r="O335" i="1"/>
  <c r="P335" i="1"/>
  <c r="Q335" i="1"/>
  <c r="E336" i="1"/>
  <c r="H336" i="1"/>
  <c r="L336" i="1"/>
  <c r="M336" i="1"/>
  <c r="N336" i="1"/>
  <c r="O336" i="1"/>
  <c r="P336" i="1"/>
  <c r="Q336" i="1"/>
  <c r="E337" i="1"/>
  <c r="H337" i="1"/>
  <c r="L337" i="1"/>
  <c r="M337" i="1"/>
  <c r="N337" i="1"/>
  <c r="O337" i="1"/>
  <c r="P337" i="1"/>
  <c r="Q337" i="1"/>
  <c r="E338" i="1"/>
  <c r="H338" i="1"/>
  <c r="L338" i="1"/>
  <c r="M338" i="1"/>
  <c r="N338" i="1"/>
  <c r="O338" i="1"/>
  <c r="P338" i="1"/>
  <c r="Q338" i="1"/>
  <c r="E339" i="1"/>
  <c r="H339" i="1"/>
  <c r="L339" i="1"/>
  <c r="M339" i="1"/>
  <c r="N339" i="1"/>
  <c r="O339" i="1"/>
  <c r="P339" i="1"/>
  <c r="Q339" i="1"/>
  <c r="E340" i="1"/>
  <c r="H340" i="1"/>
  <c r="L340" i="1"/>
  <c r="M340" i="1"/>
  <c r="N340" i="1"/>
  <c r="O340" i="1"/>
  <c r="P340" i="1"/>
  <c r="Q340" i="1"/>
  <c r="E341" i="1"/>
  <c r="H341" i="1"/>
  <c r="L341" i="1"/>
  <c r="M341" i="1"/>
  <c r="N341" i="1"/>
  <c r="O341" i="1"/>
  <c r="P341" i="1"/>
  <c r="Q341" i="1"/>
  <c r="E342" i="1"/>
  <c r="H342" i="1"/>
  <c r="L342" i="1"/>
  <c r="M342" i="1"/>
  <c r="N342" i="1"/>
  <c r="O342" i="1"/>
  <c r="P342" i="1"/>
  <c r="Q342" i="1"/>
  <c r="E343" i="1"/>
  <c r="H343" i="1"/>
  <c r="L343" i="1"/>
  <c r="M343" i="1"/>
  <c r="N343" i="1"/>
  <c r="O343" i="1"/>
  <c r="P343" i="1"/>
  <c r="Q343" i="1"/>
  <c r="E344" i="1"/>
  <c r="H344" i="1"/>
  <c r="L344" i="1"/>
  <c r="M344" i="1"/>
  <c r="N344" i="1"/>
  <c r="O344" i="1"/>
  <c r="P344" i="1"/>
  <c r="Q344" i="1"/>
  <c r="E345" i="1"/>
  <c r="H345" i="1"/>
  <c r="L345" i="1"/>
  <c r="M345" i="1"/>
  <c r="N345" i="1"/>
  <c r="O345" i="1"/>
  <c r="P345" i="1"/>
  <c r="Q345" i="1"/>
  <c r="E346" i="1"/>
  <c r="H346" i="1"/>
  <c r="L346" i="1"/>
  <c r="M346" i="1"/>
  <c r="N346" i="1"/>
  <c r="O346" i="1"/>
  <c r="P346" i="1"/>
  <c r="Q346" i="1"/>
  <c r="E347" i="1"/>
  <c r="H347" i="1"/>
  <c r="L347" i="1"/>
  <c r="M347" i="1"/>
  <c r="N347" i="1"/>
  <c r="O347" i="1"/>
  <c r="P347" i="1"/>
  <c r="Q347" i="1"/>
  <c r="E348" i="1"/>
  <c r="H348" i="1"/>
  <c r="L348" i="1"/>
  <c r="M348" i="1"/>
  <c r="N348" i="1"/>
  <c r="O348" i="1"/>
  <c r="P348" i="1"/>
  <c r="Q348" i="1"/>
  <c r="E349" i="1"/>
  <c r="H349" i="1"/>
  <c r="L349" i="1"/>
  <c r="M349" i="1"/>
  <c r="N349" i="1"/>
  <c r="O349" i="1"/>
  <c r="P349" i="1"/>
  <c r="Q349" i="1"/>
  <c r="E350" i="1"/>
  <c r="H350" i="1"/>
  <c r="L350" i="1"/>
  <c r="M350" i="1"/>
  <c r="N350" i="1"/>
  <c r="O350" i="1"/>
  <c r="P350" i="1"/>
  <c r="Q350" i="1"/>
  <c r="E351" i="1"/>
  <c r="H351" i="1"/>
  <c r="L351" i="1"/>
  <c r="M351" i="1"/>
  <c r="N351" i="1"/>
  <c r="O351" i="1"/>
  <c r="P351" i="1"/>
  <c r="Q351" i="1"/>
  <c r="E352" i="1"/>
  <c r="H352" i="1"/>
  <c r="L352" i="1"/>
  <c r="M352" i="1"/>
  <c r="N352" i="1"/>
  <c r="O352" i="1"/>
  <c r="P352" i="1"/>
  <c r="Q352" i="1"/>
  <c r="E353" i="1"/>
  <c r="H353" i="1"/>
  <c r="L353" i="1"/>
  <c r="M353" i="1"/>
  <c r="N353" i="1"/>
  <c r="O353" i="1"/>
  <c r="P353" i="1"/>
  <c r="Q353" i="1"/>
  <c r="E354" i="1"/>
  <c r="H354" i="1"/>
  <c r="L354" i="1"/>
  <c r="M354" i="1"/>
  <c r="N354" i="1"/>
  <c r="O354" i="1"/>
  <c r="P354" i="1"/>
  <c r="Q354" i="1"/>
  <c r="E355" i="1"/>
  <c r="H355" i="1"/>
  <c r="L355" i="1"/>
  <c r="M355" i="1"/>
  <c r="N355" i="1"/>
  <c r="O355" i="1"/>
  <c r="P355" i="1"/>
  <c r="Q355" i="1"/>
  <c r="E356" i="1"/>
  <c r="H356" i="1"/>
  <c r="L356" i="1"/>
  <c r="M356" i="1"/>
  <c r="N356" i="1"/>
  <c r="O356" i="1"/>
  <c r="P356" i="1"/>
  <c r="Q356" i="1"/>
  <c r="E357" i="1"/>
  <c r="H357" i="1"/>
  <c r="L357" i="1"/>
  <c r="M357" i="1"/>
  <c r="N357" i="1"/>
  <c r="O357" i="1"/>
  <c r="P357" i="1"/>
  <c r="Q357" i="1"/>
  <c r="E358" i="1"/>
  <c r="H358" i="1"/>
  <c r="L358" i="1"/>
  <c r="M358" i="1"/>
  <c r="N358" i="1"/>
  <c r="O358" i="1"/>
  <c r="P358" i="1"/>
  <c r="Q358" i="1"/>
  <c r="E359" i="1"/>
  <c r="H359" i="1"/>
  <c r="L359" i="1"/>
  <c r="M359" i="1"/>
  <c r="N359" i="1"/>
  <c r="O359" i="1"/>
  <c r="P359" i="1"/>
  <c r="E360" i="1"/>
  <c r="H360" i="1"/>
  <c r="L360" i="1"/>
  <c r="M360" i="1"/>
  <c r="N360" i="1"/>
  <c r="O360" i="1"/>
  <c r="P360" i="1"/>
  <c r="E361" i="1"/>
  <c r="H361" i="1"/>
  <c r="L361" i="1"/>
  <c r="M361" i="1"/>
  <c r="N361" i="1"/>
  <c r="O361" i="1"/>
  <c r="P361" i="1"/>
  <c r="Q361" i="1"/>
  <c r="E362" i="1"/>
  <c r="H362" i="1"/>
  <c r="L362" i="1"/>
  <c r="M362" i="1"/>
  <c r="N362" i="1"/>
  <c r="O362" i="1"/>
  <c r="P362" i="1"/>
  <c r="Q362" i="1"/>
  <c r="E363" i="1"/>
  <c r="H363" i="1"/>
  <c r="L363" i="1"/>
  <c r="M363" i="1"/>
  <c r="N363" i="1"/>
  <c r="O363" i="1"/>
  <c r="P363" i="1"/>
  <c r="Q363" i="1"/>
  <c r="E364" i="1"/>
  <c r="H364" i="1"/>
  <c r="L364" i="1"/>
  <c r="M364" i="1"/>
  <c r="N364" i="1"/>
  <c r="O364" i="1"/>
  <c r="P364" i="1"/>
  <c r="Q364" i="1"/>
  <c r="E365" i="1"/>
  <c r="H365" i="1"/>
  <c r="L365" i="1"/>
  <c r="M365" i="1"/>
  <c r="N365" i="1"/>
  <c r="O365" i="1"/>
  <c r="P365" i="1"/>
  <c r="Q365" i="1"/>
  <c r="E366" i="1"/>
  <c r="H366" i="1"/>
  <c r="L366" i="1"/>
  <c r="M366" i="1"/>
  <c r="N366" i="1"/>
  <c r="O366" i="1"/>
  <c r="P366" i="1"/>
  <c r="Q366" i="1"/>
  <c r="E367" i="1"/>
  <c r="H367" i="1"/>
  <c r="L367" i="1"/>
  <c r="M367" i="1"/>
  <c r="N367" i="1"/>
  <c r="O367" i="1"/>
  <c r="P367" i="1"/>
  <c r="Q367" i="1"/>
  <c r="E368" i="1"/>
  <c r="H368" i="1"/>
  <c r="L368" i="1"/>
  <c r="M368" i="1"/>
  <c r="N368" i="1"/>
  <c r="O368" i="1"/>
  <c r="P368" i="1"/>
  <c r="Q368" i="1"/>
  <c r="E369" i="1"/>
  <c r="H369" i="1"/>
  <c r="L369" i="1"/>
  <c r="M369" i="1"/>
  <c r="N369" i="1"/>
  <c r="E370" i="1"/>
  <c r="H370" i="1"/>
  <c r="L370" i="1"/>
  <c r="M370" i="1"/>
  <c r="N370" i="1"/>
  <c r="E371" i="1"/>
  <c r="H371" i="1"/>
  <c r="L371" i="1"/>
  <c r="M371" i="1"/>
  <c r="N371" i="1"/>
  <c r="O371" i="1"/>
  <c r="P371" i="1"/>
  <c r="Q371" i="1"/>
  <c r="E372" i="1"/>
  <c r="H372" i="1"/>
  <c r="L372" i="1"/>
  <c r="M372" i="1"/>
  <c r="N372" i="1"/>
  <c r="O372" i="1"/>
  <c r="P372" i="1"/>
  <c r="Q372" i="1"/>
  <c r="E373" i="1"/>
  <c r="H373" i="1"/>
  <c r="L373" i="1"/>
  <c r="M373" i="1"/>
  <c r="N373" i="1"/>
  <c r="O373" i="1"/>
  <c r="P373" i="1"/>
  <c r="Q373" i="1"/>
  <c r="E374" i="1"/>
  <c r="H374" i="1"/>
  <c r="L374" i="1"/>
  <c r="M374" i="1"/>
  <c r="N374" i="1"/>
  <c r="O374" i="1"/>
  <c r="P374" i="1"/>
  <c r="Q374" i="1"/>
  <c r="E375" i="1"/>
  <c r="H375" i="1"/>
  <c r="L375" i="1"/>
  <c r="M375" i="1"/>
  <c r="N375" i="1"/>
  <c r="O375" i="1"/>
  <c r="P375" i="1"/>
  <c r="Q375" i="1"/>
  <c r="E376" i="1"/>
  <c r="H376" i="1"/>
  <c r="L376" i="1"/>
  <c r="M376" i="1"/>
  <c r="N376" i="1"/>
  <c r="O376" i="1"/>
  <c r="P376" i="1"/>
  <c r="Q376" i="1"/>
  <c r="E377" i="1"/>
  <c r="H377" i="1"/>
  <c r="L377" i="1"/>
  <c r="N377" i="1"/>
  <c r="O377" i="1"/>
  <c r="P377" i="1"/>
  <c r="Q377" i="1"/>
  <c r="E378" i="1"/>
  <c r="H378" i="1"/>
  <c r="L378" i="1"/>
  <c r="M378" i="1"/>
  <c r="N378" i="1"/>
  <c r="O378" i="1"/>
  <c r="P378" i="1"/>
  <c r="Q378" i="1"/>
  <c r="E379" i="1"/>
  <c r="H379" i="1"/>
  <c r="L379" i="1"/>
  <c r="M379" i="1"/>
  <c r="N379" i="1"/>
  <c r="O379" i="1"/>
  <c r="P379" i="1"/>
  <c r="Q379" i="1"/>
  <c r="E380" i="1"/>
  <c r="H380" i="1"/>
  <c r="L380" i="1"/>
  <c r="M380" i="1"/>
  <c r="N380" i="1"/>
  <c r="O380" i="1"/>
  <c r="P380" i="1"/>
  <c r="Q380" i="1"/>
  <c r="E381" i="1"/>
  <c r="H381" i="1"/>
  <c r="L381" i="1"/>
  <c r="M381" i="1"/>
  <c r="N381" i="1"/>
  <c r="O381" i="1"/>
  <c r="P381" i="1"/>
  <c r="Q381" i="1"/>
  <c r="E382" i="1"/>
  <c r="H382" i="1"/>
  <c r="L382" i="1"/>
  <c r="M382" i="1"/>
  <c r="N382" i="1"/>
  <c r="O382" i="1"/>
  <c r="P382" i="1"/>
  <c r="Q382" i="1"/>
  <c r="E383" i="1"/>
  <c r="H383" i="1"/>
  <c r="L383" i="1"/>
  <c r="M383" i="1"/>
  <c r="N383" i="1"/>
  <c r="O383" i="1"/>
  <c r="P383" i="1"/>
  <c r="Q383" i="1"/>
  <c r="E384" i="1"/>
  <c r="H384" i="1"/>
  <c r="L384" i="1"/>
  <c r="M384" i="1"/>
  <c r="N384" i="1"/>
  <c r="O384" i="1"/>
  <c r="P384" i="1"/>
  <c r="Q384" i="1"/>
  <c r="E385" i="1"/>
  <c r="H385" i="1"/>
  <c r="L385" i="1"/>
  <c r="M385" i="1"/>
  <c r="N385" i="1"/>
  <c r="O385" i="1"/>
  <c r="P385" i="1"/>
  <c r="Q385" i="1"/>
  <c r="E386" i="1"/>
  <c r="H386" i="1"/>
  <c r="L386" i="1"/>
  <c r="M386" i="1"/>
  <c r="N386" i="1"/>
  <c r="O386" i="1"/>
  <c r="P386" i="1"/>
  <c r="Q386" i="1"/>
  <c r="E387" i="1"/>
  <c r="H387" i="1"/>
  <c r="L387" i="1"/>
  <c r="M387" i="1"/>
  <c r="N387" i="1"/>
  <c r="O387" i="1"/>
  <c r="P387" i="1"/>
  <c r="Q387" i="1"/>
  <c r="E388" i="1"/>
  <c r="H388" i="1"/>
  <c r="L388" i="1"/>
  <c r="M388" i="1"/>
  <c r="N388" i="1"/>
  <c r="O388" i="1"/>
  <c r="P388" i="1"/>
  <c r="Q388" i="1"/>
  <c r="E389" i="1"/>
  <c r="H389" i="1"/>
  <c r="L389" i="1"/>
  <c r="M389" i="1"/>
  <c r="N389" i="1"/>
  <c r="O389" i="1"/>
  <c r="P389" i="1"/>
  <c r="Q389" i="1"/>
  <c r="E390" i="1"/>
  <c r="H390" i="1"/>
  <c r="L390" i="1"/>
  <c r="M390" i="1"/>
  <c r="N390" i="1"/>
  <c r="O390" i="1"/>
  <c r="P390" i="1"/>
  <c r="Q390" i="1"/>
  <c r="E391" i="1"/>
  <c r="H391" i="1"/>
  <c r="L391" i="1"/>
  <c r="M391" i="1"/>
  <c r="N391" i="1"/>
  <c r="O391" i="1"/>
  <c r="P391" i="1"/>
  <c r="Q391" i="1"/>
  <c r="E392" i="1"/>
  <c r="H392" i="1"/>
  <c r="L392" i="1"/>
  <c r="M392" i="1"/>
  <c r="N392" i="1"/>
  <c r="O392" i="1"/>
  <c r="P392" i="1"/>
  <c r="Q392" i="1"/>
  <c r="E393" i="1"/>
  <c r="H393" i="1"/>
  <c r="L393" i="1"/>
  <c r="M393" i="1"/>
  <c r="N393" i="1"/>
  <c r="O393" i="1"/>
  <c r="P393" i="1"/>
  <c r="Q393" i="1"/>
  <c r="E394" i="1"/>
  <c r="H394" i="1"/>
  <c r="L394" i="1"/>
  <c r="M394" i="1"/>
  <c r="N394" i="1"/>
  <c r="O394" i="1"/>
  <c r="P394" i="1"/>
  <c r="Q394" i="1"/>
  <c r="E395" i="1"/>
  <c r="H395" i="1"/>
  <c r="L395" i="1"/>
  <c r="M395" i="1"/>
  <c r="N395" i="1"/>
  <c r="O395" i="1"/>
  <c r="P395" i="1"/>
  <c r="Q395" i="1"/>
  <c r="E396" i="1"/>
  <c r="H396" i="1"/>
  <c r="L396" i="1"/>
  <c r="M396" i="1"/>
  <c r="N396" i="1"/>
  <c r="O396" i="1"/>
  <c r="P396" i="1"/>
  <c r="Q396" i="1"/>
  <c r="E397" i="1"/>
  <c r="H397" i="1"/>
  <c r="L397" i="1"/>
  <c r="M397" i="1"/>
  <c r="N397" i="1"/>
  <c r="O397" i="1"/>
  <c r="P397" i="1"/>
  <c r="Q397" i="1"/>
  <c r="E398" i="1"/>
  <c r="H398" i="1"/>
  <c r="L398" i="1"/>
  <c r="M398" i="1"/>
  <c r="N398" i="1"/>
  <c r="O398" i="1"/>
  <c r="P398" i="1"/>
  <c r="Q398" i="1"/>
  <c r="E399" i="1"/>
  <c r="H399" i="1"/>
  <c r="L399" i="1"/>
  <c r="M399" i="1"/>
  <c r="N399" i="1"/>
  <c r="O399" i="1"/>
  <c r="P399" i="1"/>
  <c r="Q399" i="1"/>
  <c r="E400" i="1"/>
  <c r="H400" i="1"/>
  <c r="L400" i="1"/>
  <c r="M400" i="1"/>
  <c r="N400" i="1"/>
  <c r="O400" i="1"/>
  <c r="P400" i="1"/>
  <c r="Q400" i="1"/>
  <c r="E401" i="1"/>
  <c r="H401" i="1"/>
  <c r="L401" i="1"/>
  <c r="M401" i="1"/>
  <c r="N401" i="1"/>
  <c r="O401" i="1"/>
  <c r="P401" i="1"/>
  <c r="Q401" i="1"/>
  <c r="E402" i="1"/>
  <c r="H402" i="1"/>
  <c r="L402" i="1"/>
  <c r="M402" i="1"/>
  <c r="N402" i="1"/>
  <c r="O402" i="1"/>
  <c r="P402" i="1"/>
  <c r="Q402" i="1"/>
  <c r="E403" i="1"/>
  <c r="H403" i="1"/>
  <c r="L403" i="1"/>
  <c r="M403" i="1"/>
  <c r="N403" i="1"/>
  <c r="O403" i="1"/>
  <c r="P403" i="1"/>
  <c r="Q403" i="1"/>
  <c r="E404" i="1"/>
  <c r="H404" i="1"/>
  <c r="L404" i="1"/>
  <c r="M404" i="1"/>
  <c r="N404" i="1"/>
  <c r="O404" i="1"/>
  <c r="P404" i="1"/>
  <c r="Q404" i="1"/>
  <c r="E405" i="1"/>
  <c r="H405" i="1"/>
  <c r="L405" i="1"/>
  <c r="M405" i="1"/>
  <c r="N405" i="1"/>
  <c r="O405" i="1"/>
  <c r="P405" i="1"/>
  <c r="Q405" i="1"/>
  <c r="E406" i="1"/>
  <c r="H406" i="1"/>
  <c r="L406" i="1"/>
  <c r="M406" i="1"/>
  <c r="N406" i="1"/>
  <c r="O406" i="1"/>
  <c r="P406" i="1"/>
  <c r="Q406" i="1"/>
  <c r="E407" i="1"/>
  <c r="H407" i="1"/>
  <c r="L407" i="1"/>
  <c r="M407" i="1"/>
  <c r="N407" i="1"/>
  <c r="O407" i="1"/>
  <c r="P407" i="1"/>
  <c r="Q407" i="1"/>
  <c r="E408" i="1"/>
  <c r="H408" i="1"/>
  <c r="L408" i="1"/>
  <c r="M408" i="1"/>
  <c r="N408" i="1"/>
  <c r="O408" i="1"/>
  <c r="P408" i="1"/>
  <c r="Q408" i="1"/>
  <c r="E409" i="1"/>
  <c r="H409" i="1"/>
  <c r="L409" i="1"/>
  <c r="M409" i="1"/>
  <c r="N409" i="1"/>
  <c r="O409" i="1"/>
  <c r="P409" i="1"/>
  <c r="Q409" i="1"/>
  <c r="E410" i="1"/>
  <c r="H410" i="1"/>
  <c r="L410" i="1"/>
  <c r="M410" i="1"/>
  <c r="N410" i="1"/>
  <c r="O410" i="1"/>
  <c r="P410" i="1"/>
  <c r="Q410" i="1"/>
  <c r="E411" i="1"/>
  <c r="H411" i="1"/>
  <c r="L411" i="1"/>
  <c r="M411" i="1"/>
  <c r="N411" i="1"/>
  <c r="O411" i="1"/>
  <c r="P411" i="1"/>
  <c r="Q411" i="1"/>
  <c r="E412" i="1"/>
  <c r="H412" i="1"/>
  <c r="L412" i="1"/>
  <c r="M412" i="1"/>
  <c r="N412" i="1"/>
  <c r="O412" i="1"/>
  <c r="P412" i="1"/>
  <c r="Q412" i="1"/>
  <c r="E413" i="1"/>
  <c r="H413" i="1"/>
  <c r="L413" i="1"/>
  <c r="M413" i="1"/>
  <c r="N413" i="1"/>
  <c r="O413" i="1"/>
  <c r="P413" i="1"/>
  <c r="Q413" i="1"/>
  <c r="E414" i="1"/>
  <c r="H414" i="1"/>
  <c r="L414" i="1"/>
  <c r="M414" i="1"/>
  <c r="N414" i="1"/>
  <c r="O414" i="1"/>
  <c r="P414" i="1"/>
  <c r="Q414" i="1"/>
  <c r="E415" i="1"/>
  <c r="H415" i="1"/>
  <c r="L415" i="1"/>
  <c r="M415" i="1"/>
  <c r="N415" i="1"/>
  <c r="O415" i="1"/>
  <c r="P415" i="1"/>
  <c r="Q415" i="1"/>
  <c r="L416" i="1"/>
  <c r="O416" i="1"/>
  <c r="P416" i="1"/>
  <c r="Q416" i="1"/>
  <c r="D569" i="1" l="1"/>
  <c r="D574" i="1" s="1"/>
  <c r="D571" i="1" l="1"/>
  <c r="D573" i="1" s="1"/>
  <c r="D575" i="1" s="1"/>
  <c r="D577" i="1" s="1"/>
  <c r="D579" i="1" s="1"/>
  <c r="D576" i="1"/>
  <c r="D578" i="1" s="1"/>
  <c r="D580" i="1" s="1"/>
  <c r="D582" i="1" s="1"/>
  <c r="D584" i="1" s="1"/>
  <c r="D581" i="1" l="1"/>
  <c r="D583" i="1" s="1"/>
  <c r="D585" i="1" s="1"/>
  <c r="D587" i="1" s="1"/>
  <c r="D589" i="1" s="1"/>
  <c r="D586" i="1" l="1"/>
  <c r="D588" i="1" s="1"/>
  <c r="D590" i="1" s="1"/>
  <c r="D592" i="1" s="1"/>
  <c r="D594" i="1" s="1"/>
  <c r="D591" i="1" l="1"/>
  <c r="D593" i="1" s="1"/>
  <c r="D595" i="1" s="1"/>
  <c r="D597" i="1" s="1"/>
  <c r="D599" i="1" s="1"/>
  <c r="D596" i="1" l="1"/>
  <c r="D598" i="1" s="1"/>
  <c r="D600" i="1" s="1"/>
  <c r="D602" i="1" s="1"/>
  <c r="D604" i="1" s="1"/>
  <c r="D601" i="1" l="1"/>
  <c r="D603" i="1" s="1"/>
  <c r="D605" i="1" s="1"/>
  <c r="D607" i="1" s="1"/>
  <c r="D609" i="1" s="1"/>
  <c r="D606" i="1" l="1"/>
  <c r="D608" i="1" s="1"/>
  <c r="D610" i="1" s="1"/>
  <c r="D612" i="1" s="1"/>
  <c r="D614" i="1" s="1"/>
  <c r="D611" i="1" l="1"/>
  <c r="D613" i="1" s="1"/>
  <c r="D615" i="1" s="1"/>
  <c r="D617" i="1" s="1"/>
  <c r="D619" i="1" s="1"/>
  <c r="D616" i="1" l="1"/>
  <c r="D618" i="1" s="1"/>
  <c r="D620" i="1" s="1"/>
  <c r="D622" i="1" s="1"/>
  <c r="D624" i="1" s="1"/>
  <c r="D621" i="1" l="1"/>
  <c r="D623" i="1" s="1"/>
  <c r="D625" i="1" s="1"/>
  <c r="D627" i="1" s="1"/>
  <c r="D629" i="1" s="1"/>
  <c r="D626" i="1" l="1"/>
  <c r="D628" i="1" s="1"/>
  <c r="D630" i="1" s="1"/>
  <c r="D632" i="1" s="1"/>
  <c r="D634" i="1" s="1"/>
  <c r="D631" i="1" l="1"/>
  <c r="D633" i="1" s="1"/>
  <c r="D635" i="1" s="1"/>
  <c r="D637" i="1" s="1"/>
  <c r="D639" i="1" s="1"/>
  <c r="D636" i="1" l="1"/>
  <c r="D638" i="1" s="1"/>
  <c r="D640" i="1" s="1"/>
  <c r="D642" i="1" s="1"/>
  <c r="D644" i="1" s="1"/>
  <c r="D641" i="1" l="1"/>
  <c r="D643" i="1" s="1"/>
  <c r="D645" i="1" s="1"/>
  <c r="D647" i="1" s="1"/>
  <c r="D649" i="1" s="1"/>
  <c r="D646" i="1" l="1"/>
  <c r="D648" i="1" s="1"/>
  <c r="D650" i="1" s="1"/>
  <c r="D652" i="1" s="1"/>
  <c r="D654" i="1" s="1"/>
  <c r="D651" i="1" l="1"/>
  <c r="D653" i="1" s="1"/>
  <c r="D655" i="1" s="1"/>
  <c r="D657" i="1" s="1"/>
  <c r="D659" i="1" s="1"/>
  <c r="D656" i="1" l="1"/>
  <c r="D658" i="1" s="1"/>
  <c r="D660" i="1" s="1"/>
  <c r="D662" i="1" s="1"/>
  <c r="D664" i="1" s="1"/>
  <c r="D661" i="1" l="1"/>
  <c r="D663" i="1" s="1"/>
  <c r="D665" i="1" s="1"/>
  <c r="D667" i="1" s="1"/>
  <c r="D669" i="1" s="1"/>
  <c r="D666" i="1" l="1"/>
  <c r="D668" i="1" s="1"/>
  <c r="D670" i="1" s="1"/>
  <c r="D672" i="1" s="1"/>
  <c r="D674" i="1" s="1"/>
  <c r="D671" i="1" l="1"/>
  <c r="D673" i="1" s="1"/>
  <c r="D675" i="1" s="1"/>
  <c r="D677" i="1" s="1"/>
  <c r="D679" i="1" s="1"/>
  <c r="D676" i="1" l="1"/>
  <c r="D678" i="1" s="1"/>
  <c r="D680" i="1" s="1"/>
  <c r="D682" i="1" s="1"/>
  <c r="D684" i="1" s="1"/>
  <c r="D681" i="1" l="1"/>
  <c r="D683" i="1" s="1"/>
  <c r="D685" i="1" s="1"/>
  <c r="D687" i="1" s="1"/>
  <c r="D689" i="1" s="1"/>
  <c r="D686" i="1" l="1"/>
  <c r="D688" i="1" s="1"/>
  <c r="D690" i="1" s="1"/>
  <c r="D691" i="1" l="1"/>
</calcChain>
</file>

<file path=xl/comments1.xml><?xml version="1.0" encoding="utf-8"?>
<comments xmlns="http://schemas.openxmlformats.org/spreadsheetml/2006/main">
  <authors>
    <author>Stella</author>
  </authors>
  <commentList>
    <comment ref="M337" authorId="0">
      <text>
        <r>
          <rPr>
            <b/>
            <sz val="9"/>
            <color indexed="81"/>
            <rFont val="Tahoma"/>
            <family val="2"/>
          </rPr>
          <t>Stella:</t>
        </r>
        <r>
          <rPr>
            <sz val="9"/>
            <color indexed="81"/>
            <rFont val="Tahoma"/>
            <family val="2"/>
          </rPr>
          <t xml:space="preserve">
NOVILLO UE</t>
        </r>
      </text>
    </comment>
  </commentList>
</comments>
</file>

<file path=xl/sharedStrings.xml><?xml version="1.0" encoding="utf-8"?>
<sst xmlns="http://schemas.openxmlformats.org/spreadsheetml/2006/main" count="1318" uniqueCount="753">
  <si>
    <t>FECHA</t>
  </si>
  <si>
    <t xml:space="preserve">    ARGENTINA</t>
  </si>
  <si>
    <t>U R U G U A Y</t>
  </si>
  <si>
    <t>B R A S I L</t>
  </si>
  <si>
    <t>EE.UU.</t>
  </si>
  <si>
    <t>AUSTRALIA</t>
  </si>
  <si>
    <t>NOVILLO</t>
  </si>
  <si>
    <t>VACA</t>
  </si>
  <si>
    <t>NOV.+480</t>
  </si>
  <si>
    <t>NOV. GORDO</t>
  </si>
  <si>
    <t>1/4 DELANTERO</t>
  </si>
  <si>
    <t>1/4 TRASERO</t>
  </si>
  <si>
    <t>NOV. COREA</t>
  </si>
  <si>
    <t>NOV. JAPON</t>
  </si>
  <si>
    <t xml:space="preserve">            U$S KG VIVO</t>
  </si>
  <si>
    <t>U$S KG VIVO</t>
  </si>
  <si>
    <t>U$S KG VIVO RGSUL</t>
  </si>
  <si>
    <t>U$S/TONELADA</t>
  </si>
  <si>
    <t>U$S/KG VIVO</t>
  </si>
  <si>
    <t>U$S/KG GANCHO</t>
  </si>
  <si>
    <t>PRECIOS VACUNOS /CARNES EN DIFERENTES PAISES</t>
  </si>
  <si>
    <t>AL 02/01/09</t>
  </si>
  <si>
    <t>s/info</t>
  </si>
  <si>
    <t>AL 09/01/09</t>
  </si>
  <si>
    <t>AL 16/01/09</t>
  </si>
  <si>
    <t>AL 23/01/09</t>
  </si>
  <si>
    <t>AL 30,01,09</t>
  </si>
  <si>
    <t>AL 06,02,09</t>
  </si>
  <si>
    <t>AL 13,02,09</t>
  </si>
  <si>
    <t>AL 20,02,09</t>
  </si>
  <si>
    <t>AL 27,02,09</t>
  </si>
  <si>
    <t>AL 06,03,09</t>
  </si>
  <si>
    <t>AL 13,03,09</t>
  </si>
  <si>
    <t>AL 20,03,09</t>
  </si>
  <si>
    <t>AL 27,03,09</t>
  </si>
  <si>
    <t>s/cotz</t>
  </si>
  <si>
    <t>AL 03,04,09</t>
  </si>
  <si>
    <t>AL 08,04,09</t>
  </si>
  <si>
    <t>AL 17,04,09</t>
  </si>
  <si>
    <t>AL 24,04,09</t>
  </si>
  <si>
    <t>AL 01,05,09</t>
  </si>
  <si>
    <t>AL 08,05,09</t>
  </si>
  <si>
    <t>Al 15,05,09</t>
  </si>
  <si>
    <t>AL 22,05,09</t>
  </si>
  <si>
    <t>AL 29,05,09</t>
  </si>
  <si>
    <t>AL 05,06,09</t>
  </si>
  <si>
    <t>AL 12,06,09</t>
  </si>
  <si>
    <t>AL 19,06,09</t>
  </si>
  <si>
    <t>AL 26,06,09</t>
  </si>
  <si>
    <t>AL 03,07,09</t>
  </si>
  <si>
    <t>AL 10,07,09</t>
  </si>
  <si>
    <t>AL 17,07,09</t>
  </si>
  <si>
    <t>AL 24,07,09</t>
  </si>
  <si>
    <t>AL 31,07,09</t>
  </si>
  <si>
    <t>AL 07,08,09</t>
  </si>
  <si>
    <t>AL 14,08,09</t>
  </si>
  <si>
    <t>AL 21,08,09</t>
  </si>
  <si>
    <t>AL 28,08,09</t>
  </si>
  <si>
    <t>AL 04/09/09</t>
  </si>
  <si>
    <t>AL 11/09/09</t>
  </si>
  <si>
    <t>AL 18/09/09</t>
  </si>
  <si>
    <t>AL 25/09/09</t>
  </si>
  <si>
    <t>AL 02/10/09</t>
  </si>
  <si>
    <t>AL 09/10/09</t>
  </si>
  <si>
    <t>AL 16/10/09</t>
  </si>
  <si>
    <t>AL 23/10/09</t>
  </si>
  <si>
    <t>AL 30/10/09</t>
  </si>
  <si>
    <t>AL 06/11/09</t>
  </si>
  <si>
    <t>AL13/11/09</t>
  </si>
  <si>
    <t>AL 20/11/09</t>
  </si>
  <si>
    <t>AL 27/11/09</t>
  </si>
  <si>
    <t>AL 04/12/09</t>
  </si>
  <si>
    <t>AL 11/12/09</t>
  </si>
  <si>
    <t>AL 18/12/09</t>
  </si>
  <si>
    <t>AL 24/12/09</t>
  </si>
  <si>
    <t>AL 30/12/09</t>
  </si>
  <si>
    <t>AL 08/01/10</t>
  </si>
  <si>
    <t>AL 15/01/10</t>
  </si>
  <si>
    <t>AL 22/01/10</t>
  </si>
  <si>
    <t>AL 29/01/10</t>
  </si>
  <si>
    <t>AL 05/02/10</t>
  </si>
  <si>
    <t>AL 12/02/10</t>
  </si>
  <si>
    <t>AL 19/02/10</t>
  </si>
  <si>
    <t>AL 26/02/10</t>
  </si>
  <si>
    <t>AL 05/03/10</t>
  </si>
  <si>
    <t>AL 12/03/10</t>
  </si>
  <si>
    <t>PARAGUAY</t>
  </si>
  <si>
    <t>AL 19/03/10</t>
  </si>
  <si>
    <t>AL 26/03/10</t>
  </si>
  <si>
    <t>AL 02/04/10</t>
  </si>
  <si>
    <t>AL 09/04/10</t>
  </si>
  <si>
    <t>AL 16/04/10</t>
  </si>
  <si>
    <t>AL 23/04/10</t>
  </si>
  <si>
    <t>AL 30/04/10</t>
  </si>
  <si>
    <t>AL 07/05/10</t>
  </si>
  <si>
    <t>AL 14/05/10</t>
  </si>
  <si>
    <t>AL 21/05/10</t>
  </si>
  <si>
    <t>AL 28/05/10</t>
  </si>
  <si>
    <t>AL 04/06/10</t>
  </si>
  <si>
    <t>AL 11/06/10</t>
  </si>
  <si>
    <t>AL 18/06/10</t>
  </si>
  <si>
    <t>AL 25/06/10</t>
  </si>
  <si>
    <t>AL 02/07/10</t>
  </si>
  <si>
    <t>AL 09/07/10</t>
  </si>
  <si>
    <t>AL 16/07/10</t>
  </si>
  <si>
    <t>AL 23/07/10</t>
  </si>
  <si>
    <t>AL 30/07/10</t>
  </si>
  <si>
    <t>AL 06/08/10</t>
  </si>
  <si>
    <t>AL 13/08/10</t>
  </si>
  <si>
    <t>AL 20/08/10</t>
  </si>
  <si>
    <t>AL 27/08/10</t>
  </si>
  <si>
    <t>AL 03/09/10</t>
  </si>
  <si>
    <t>AL 10/09/10</t>
  </si>
  <si>
    <t>AL 17/09/10</t>
  </si>
  <si>
    <t>1,,61</t>
  </si>
  <si>
    <t>AL 24/09/10</t>
  </si>
  <si>
    <t>AL 01/10/10</t>
  </si>
  <si>
    <t>AL 08/10/10</t>
  </si>
  <si>
    <t>AL 15/10/10</t>
  </si>
  <si>
    <t>AL 22/10/10</t>
  </si>
  <si>
    <t>AL 29/10/10</t>
  </si>
  <si>
    <t>AL 05/11/10</t>
  </si>
  <si>
    <t>AL 12/11/10</t>
  </si>
  <si>
    <t>AL 19/11/10</t>
  </si>
  <si>
    <t>AL 26/11/10</t>
  </si>
  <si>
    <t>AL 03/12/10</t>
  </si>
  <si>
    <t>AL 10/12/10</t>
  </si>
  <si>
    <t>AL 17/12/10</t>
  </si>
  <si>
    <t>AL 24/12/10</t>
  </si>
  <si>
    <t>AL 30/12/10</t>
  </si>
  <si>
    <t>AL 07/01/11</t>
  </si>
  <si>
    <t>AL 14/01/11</t>
  </si>
  <si>
    <t>s/d</t>
  </si>
  <si>
    <t>AL 21/01/11</t>
  </si>
  <si>
    <t>AL 28/01/11</t>
  </si>
  <si>
    <t>AL 04/02/11</t>
  </si>
  <si>
    <t>AL 11/02/11</t>
  </si>
  <si>
    <t>AL 18/02/11</t>
  </si>
  <si>
    <t>AL 25/02/11</t>
  </si>
  <si>
    <t>AL 04/03/11</t>
  </si>
  <si>
    <t>AL 11/03/11</t>
  </si>
  <si>
    <t>AL 18/03/11</t>
  </si>
  <si>
    <t>AL 25/03/11</t>
  </si>
  <si>
    <t>AL 01/04/11</t>
  </si>
  <si>
    <t>AL 08/04/11</t>
  </si>
  <si>
    <t>AL 15/04/11</t>
  </si>
  <si>
    <t>AL 20/04/11</t>
  </si>
  <si>
    <t>AL 29/04/11</t>
  </si>
  <si>
    <t>AL 06/05/11</t>
  </si>
  <si>
    <t>AL 13/05/11</t>
  </si>
  <si>
    <t>AL 20/05/11</t>
  </si>
  <si>
    <t>AL 27/05/11</t>
  </si>
  <si>
    <t>AL 03/06/11</t>
  </si>
  <si>
    <t>AL 10/06/11</t>
  </si>
  <si>
    <t>AL 17/06/11</t>
  </si>
  <si>
    <t>AL 24/06/11</t>
  </si>
  <si>
    <t>AL 01/07/11</t>
  </si>
  <si>
    <t>AL 08/07/11</t>
  </si>
  <si>
    <t>AL 15/07/11</t>
  </si>
  <si>
    <t>AL 22/07/11</t>
  </si>
  <si>
    <t>AL 29/07/11</t>
  </si>
  <si>
    <t>AL 05/08/11</t>
  </si>
  <si>
    <t>AL 12/08/11</t>
  </si>
  <si>
    <t>AL 19/08/11</t>
  </si>
  <si>
    <t>2,,87</t>
  </si>
  <si>
    <t>AL 26/08/ 11</t>
  </si>
  <si>
    <t>AL 02/09/11</t>
  </si>
  <si>
    <t>AL 09/09/11</t>
  </si>
  <si>
    <t>AL 16/09/11</t>
  </si>
  <si>
    <t>AL 23/09/11</t>
  </si>
  <si>
    <t>AL 30/09/11</t>
  </si>
  <si>
    <t>AL 07/10/11</t>
  </si>
  <si>
    <t>AL 14/10/11</t>
  </si>
  <si>
    <t>AL 21/10/11</t>
  </si>
  <si>
    <t>AL 28/10/11</t>
  </si>
  <si>
    <t>AL 04/11/11</t>
  </si>
  <si>
    <t>AL 11/11/11</t>
  </si>
  <si>
    <t>AL 18/11/11</t>
  </si>
  <si>
    <t>AL 25/11/11</t>
  </si>
  <si>
    <t>AL 02/12/11</t>
  </si>
  <si>
    <t>AL 09/12/11</t>
  </si>
  <si>
    <t>AL 16/12/11</t>
  </si>
  <si>
    <t>AL 23/12/11</t>
  </si>
  <si>
    <t>AL 30/12/11</t>
  </si>
  <si>
    <t>AL 06/01/12</t>
  </si>
  <si>
    <t>AL 13/01/12</t>
  </si>
  <si>
    <t>AL 20/01/12</t>
  </si>
  <si>
    <t>AL 27/01/12</t>
  </si>
  <si>
    <t>AL 03/02/12</t>
  </si>
  <si>
    <t>AL 10/02/12</t>
  </si>
  <si>
    <t>AL 17/02/12</t>
  </si>
  <si>
    <t>AL 24/02/12</t>
  </si>
  <si>
    <t>AL 02/03/12</t>
  </si>
  <si>
    <t>AL 09/03/12</t>
  </si>
  <si>
    <t>AL 16/03/12</t>
  </si>
  <si>
    <t>AL 23/03/12</t>
  </si>
  <si>
    <t>AL 30/03/12</t>
  </si>
  <si>
    <t>AL 06/04/12</t>
  </si>
  <si>
    <t>AL 13/04/12</t>
  </si>
  <si>
    <t>AL 20/04/12</t>
  </si>
  <si>
    <t>AL 27/04/12</t>
  </si>
  <si>
    <t>AL 04/05/12</t>
  </si>
  <si>
    <t>AL 11/05/12</t>
  </si>
  <si>
    <t>AL 18/05/12</t>
  </si>
  <si>
    <t>AL 24/05/12</t>
  </si>
  <si>
    <t>AL 01/06/12</t>
  </si>
  <si>
    <t>AL 08/06/12</t>
  </si>
  <si>
    <t>AL 15/06/12</t>
  </si>
  <si>
    <t>AL 22/06/12</t>
  </si>
  <si>
    <t>AL 29/06/12</t>
  </si>
  <si>
    <t>AL 06/07/12</t>
  </si>
  <si>
    <t>AL 13/07/12</t>
  </si>
  <si>
    <t>AL 20/07/12</t>
  </si>
  <si>
    <t>AL 27/07/12</t>
  </si>
  <si>
    <t>AL 03/08/12</t>
  </si>
  <si>
    <t>AL 10/08/12</t>
  </si>
  <si>
    <t>AL 17/08/12</t>
  </si>
  <si>
    <t>AL 24/08/12</t>
  </si>
  <si>
    <t>AL 31/08/12</t>
  </si>
  <si>
    <t>AL 07/09/12</t>
  </si>
  <si>
    <t>AL 14/09/12</t>
  </si>
  <si>
    <t>AL 21/09/12</t>
  </si>
  <si>
    <t>AL 28/09/12</t>
  </si>
  <si>
    <t>AL 05/10/12</t>
  </si>
  <si>
    <t>AL 12/10/12</t>
  </si>
  <si>
    <t>AL 19/10/12</t>
  </si>
  <si>
    <t>AL 26/10/12</t>
  </si>
  <si>
    <t>AL 02/11/12</t>
  </si>
  <si>
    <t>AL 09/11/12</t>
  </si>
  <si>
    <t>AL 16/11/12</t>
  </si>
  <si>
    <t>AL 23/11/12</t>
  </si>
  <si>
    <t>AL 30/11/12</t>
  </si>
  <si>
    <t>AL 07/12/12</t>
  </si>
  <si>
    <t>AL 14/12/12</t>
  </si>
  <si>
    <t>AL 21/12/12</t>
  </si>
  <si>
    <t>AL 28/12/12</t>
  </si>
  <si>
    <t>AL 04/01/13</t>
  </si>
  <si>
    <t>2.37</t>
  </si>
  <si>
    <t>AL 11/01/13</t>
  </si>
  <si>
    <t>AL 18/01/13</t>
  </si>
  <si>
    <t>AL 25/01/13</t>
  </si>
  <si>
    <t>AL 01/02/13</t>
  </si>
  <si>
    <t>AL 08/02/13</t>
  </si>
  <si>
    <t>AL 15/02/13</t>
  </si>
  <si>
    <t>AL 22/02/13</t>
  </si>
  <si>
    <t>AL 01/03/13</t>
  </si>
  <si>
    <t>AL 08/03/13</t>
  </si>
  <si>
    <t>AL 15/03/13</t>
  </si>
  <si>
    <t>AL 22/03/13</t>
  </si>
  <si>
    <t>AL 29/03/13</t>
  </si>
  <si>
    <t>AL 05/04/13</t>
  </si>
  <si>
    <t>AL 12/04/13</t>
  </si>
  <si>
    <t>AL 19/04/13</t>
  </si>
  <si>
    <t>AL 26/04/13</t>
  </si>
  <si>
    <t>AL 03/05/13</t>
  </si>
  <si>
    <t>AL 10/05/13</t>
  </si>
  <si>
    <t>AL 17/05/13</t>
  </si>
  <si>
    <t>AL 24/05/13</t>
  </si>
  <si>
    <t>AL 31/05/13</t>
  </si>
  <si>
    <t>AL 07/06/13</t>
  </si>
  <si>
    <t>AL 14/06/13</t>
  </si>
  <si>
    <t>AL 21/06/13</t>
  </si>
  <si>
    <t>AL 28/06/13</t>
  </si>
  <si>
    <t>Al 05/07/13</t>
  </si>
  <si>
    <t>Al 12/07/13</t>
  </si>
  <si>
    <t>AL 19/07/13</t>
  </si>
  <si>
    <t>AL 26/07/13</t>
  </si>
  <si>
    <t>AL 02/08/13</t>
  </si>
  <si>
    <t>AL 09/08/13</t>
  </si>
  <si>
    <t>AL 16/08/13</t>
  </si>
  <si>
    <t>AL 23/08/13</t>
  </si>
  <si>
    <t>AL 30/08/13</t>
  </si>
  <si>
    <t>AL 06/09/13</t>
  </si>
  <si>
    <t>AL13/09/13</t>
  </si>
  <si>
    <t>AL 20/09/13</t>
  </si>
  <si>
    <t>VACA GORDA</t>
  </si>
  <si>
    <t>NOV. S.PABLO</t>
  </si>
  <si>
    <t>VACA RGS</t>
  </si>
  <si>
    <t>NOV. RGS</t>
  </si>
  <si>
    <t>AL 27/09/13</t>
  </si>
  <si>
    <t>AL 04/10/13</t>
  </si>
  <si>
    <t>AL 11/10/13</t>
  </si>
  <si>
    <t>AL 18/10/13</t>
  </si>
  <si>
    <t>AL 25/10/13</t>
  </si>
  <si>
    <t>AL 01/11/13</t>
  </si>
  <si>
    <t>AL 08/11/13</t>
  </si>
  <si>
    <t>AL 15/11/13</t>
  </si>
  <si>
    <t>AL 29/11/13</t>
  </si>
  <si>
    <t>AL 22/11/13</t>
  </si>
  <si>
    <t>AL06/12/13</t>
  </si>
  <si>
    <t>AL 13/12/13</t>
  </si>
  <si>
    <t>AL 03/01/14</t>
  </si>
  <si>
    <t>AL 20/12/13</t>
  </si>
  <si>
    <t>AL 27/12/13</t>
  </si>
  <si>
    <t>AL 10/01/14</t>
  </si>
  <si>
    <t>AL 17/01/14</t>
  </si>
  <si>
    <t>AL 24/01/14</t>
  </si>
  <si>
    <t>AL 07/02/14</t>
  </si>
  <si>
    <t>AL 31/01/14</t>
  </si>
  <si>
    <t>AL 14/02/14</t>
  </si>
  <si>
    <t xml:space="preserve"> </t>
  </si>
  <si>
    <t>AL 28/02/14</t>
  </si>
  <si>
    <t>AL 21/02/14</t>
  </si>
  <si>
    <t>AL 07/03/14</t>
  </si>
  <si>
    <t>AL1 4/03/14</t>
  </si>
  <si>
    <t>AL 21/03/14</t>
  </si>
  <si>
    <t>AL 28/03/14</t>
  </si>
  <si>
    <t>AL 04/04/14</t>
  </si>
  <si>
    <t>AL 11/04/14</t>
  </si>
  <si>
    <t>AL 17/04/14</t>
  </si>
  <si>
    <t>AL 25/04/14</t>
  </si>
  <si>
    <t>AL 30/04/14</t>
  </si>
  <si>
    <t>AL 09/05/14</t>
  </si>
  <si>
    <t>AL 16/05/14</t>
  </si>
  <si>
    <t>AL 23/05/14</t>
  </si>
  <si>
    <t>AL30/05/15</t>
  </si>
  <si>
    <t>AL 06/06/14</t>
  </si>
  <si>
    <t>AL 13/06/14</t>
  </si>
  <si>
    <t>AL 19/06/14</t>
  </si>
  <si>
    <t>AL 27/06/14</t>
  </si>
  <si>
    <t>AL 04/07/14</t>
  </si>
  <si>
    <t>AL 11/07/14</t>
  </si>
  <si>
    <t>AL 18/07/14</t>
  </si>
  <si>
    <t>AL 25/07/14</t>
  </si>
  <si>
    <t>AL 22/08/14</t>
  </si>
  <si>
    <t>AL 29/08/14</t>
  </si>
  <si>
    <t>AL 05/09/14</t>
  </si>
  <si>
    <t>AL 12/09/14</t>
  </si>
  <si>
    <t>AL 19/09/14</t>
  </si>
  <si>
    <t>AL 26/09/14</t>
  </si>
  <si>
    <t>AL 03/10/14</t>
  </si>
  <si>
    <t>AL 01/08/14</t>
  </si>
  <si>
    <t>AL 08/08/14</t>
  </si>
  <si>
    <t>AL 15/08/14</t>
  </si>
  <si>
    <t>AL 10/10/14</t>
  </si>
  <si>
    <t>AL 17/10/14</t>
  </si>
  <si>
    <t>AL 24/10/14</t>
  </si>
  <si>
    <t>AL 31/10/14</t>
  </si>
  <si>
    <t>AL 07/11/14</t>
  </si>
  <si>
    <t>AL 14/11/14</t>
  </si>
  <si>
    <t>AL 21/11/14</t>
  </si>
  <si>
    <t>AL 28/11/14</t>
  </si>
  <si>
    <t xml:space="preserve">AL 05/12/14 </t>
  </si>
  <si>
    <t>AL 12/12/14</t>
  </si>
  <si>
    <t>AL 19/12/14</t>
  </si>
  <si>
    <t>AL 02/01/2015</t>
  </si>
  <si>
    <t>AL 26/12/14</t>
  </si>
  <si>
    <t>AL 08/01/15</t>
  </si>
  <si>
    <t>AL 16/01/15</t>
  </si>
  <si>
    <t>AL 23/01/15</t>
  </si>
  <si>
    <t>AL 30/01/15</t>
  </si>
  <si>
    <t>AL 06/02/15</t>
  </si>
  <si>
    <t>AL 13/02/15</t>
  </si>
  <si>
    <t>AL 20/02/15</t>
  </si>
  <si>
    <t>AL 27/02/15</t>
  </si>
  <si>
    <t>AL 06/03/15</t>
  </si>
  <si>
    <t>AL 13/03/15</t>
  </si>
  <si>
    <t>AL 20/03/15</t>
  </si>
  <si>
    <t>AL 27/03/15</t>
  </si>
  <si>
    <t>AL  01/04/15</t>
  </si>
  <si>
    <t>AL 10/04/15</t>
  </si>
  <si>
    <t>AL 17/04/15</t>
  </si>
  <si>
    <t>AL 24/04/15</t>
  </si>
  <si>
    <t>AL 30/04/15</t>
  </si>
  <si>
    <t>AL 08/05/15</t>
  </si>
  <si>
    <t>AL15/05/15</t>
  </si>
  <si>
    <t xml:space="preserve">AL 22/05/15 </t>
  </si>
  <si>
    <t>AL 29/05/15</t>
  </si>
  <si>
    <t>AL 05/06/15</t>
  </si>
  <si>
    <t>AL 12/06/15</t>
  </si>
  <si>
    <t>AL 19/06/15</t>
  </si>
  <si>
    <t>AL 26/06/15</t>
  </si>
  <si>
    <t>AL 03/07/15</t>
  </si>
  <si>
    <t>AL 10/07/15</t>
  </si>
  <si>
    <t>AL 17/07/15</t>
  </si>
  <si>
    <t>AL 24/07/15</t>
  </si>
  <si>
    <t>AL 31/07/15</t>
  </si>
  <si>
    <t>AL 07/08/15</t>
  </si>
  <si>
    <t>AL 14/08/15</t>
  </si>
  <si>
    <t>AL 21/08/15</t>
  </si>
  <si>
    <t>AL 28/08/15</t>
  </si>
  <si>
    <t>AL 04/09/15</t>
  </si>
  <si>
    <t>AL11/09/15</t>
  </si>
  <si>
    <t>AL18/09/15</t>
  </si>
  <si>
    <t>AL25/09/15</t>
  </si>
  <si>
    <t>AL 02/10/15</t>
  </si>
  <si>
    <t>AL 09/10/15</t>
  </si>
  <si>
    <t>AL 16/10/15</t>
  </si>
  <si>
    <t>AL 23/10/15</t>
  </si>
  <si>
    <t>AL 30/10/15</t>
  </si>
  <si>
    <t>AL 06/11/15</t>
  </si>
  <si>
    <t>AL 13/11/15</t>
  </si>
  <si>
    <t>AL 20/11/15</t>
  </si>
  <si>
    <t>AL 26/11/15</t>
  </si>
  <si>
    <t>AL 04/12/15</t>
  </si>
  <si>
    <t>AL 11/12/15</t>
  </si>
  <si>
    <t>AL 18/12/15</t>
  </si>
  <si>
    <t>AL 23/12/15</t>
  </si>
  <si>
    <t>AL 30/12/15</t>
  </si>
  <si>
    <t>AL 08/01/2016</t>
  </si>
  <si>
    <t>AL 15/01/16</t>
  </si>
  <si>
    <t>AL 22/01/16</t>
  </si>
  <si>
    <t>AL 29/01/16</t>
  </si>
  <si>
    <t>AL 05/02/16</t>
  </si>
  <si>
    <t>AL 12/02/16</t>
  </si>
  <si>
    <t>AL 19/02/16</t>
  </si>
  <si>
    <t>AL 26/02/16</t>
  </si>
  <si>
    <t>AL 04/03/16</t>
  </si>
  <si>
    <t>AL 11/03/16</t>
  </si>
  <si>
    <t>AL 18/03/16</t>
  </si>
  <si>
    <t>AL 01/04/16</t>
  </si>
  <si>
    <t>AL 08/04/16</t>
  </si>
  <si>
    <t>AL 15/04/16</t>
  </si>
  <si>
    <t>AL 22/04/16</t>
  </si>
  <si>
    <t>AL 29/04/16</t>
  </si>
  <si>
    <t>AL 06/05/16</t>
  </si>
  <si>
    <t>AL 13/05/16</t>
  </si>
  <si>
    <t>AL 20/05/16</t>
  </si>
  <si>
    <t>AL 27/05/16</t>
  </si>
  <si>
    <t>AL 03/06/16</t>
  </si>
  <si>
    <t>AL 10/06/16</t>
  </si>
  <si>
    <t>AL 16/06/16</t>
  </si>
  <si>
    <t>AL 24/06/16</t>
  </si>
  <si>
    <t>AL 01/07/16</t>
  </si>
  <si>
    <t>AL 07/07/16</t>
  </si>
  <si>
    <t>AL15/07/16</t>
  </si>
  <si>
    <t>AL 22/07/16</t>
  </si>
  <si>
    <t>AL 29/07/16</t>
  </si>
  <si>
    <t>AL 05/08/16</t>
  </si>
  <si>
    <t>AL 12/08/16</t>
  </si>
  <si>
    <t>AL 19/08/16</t>
  </si>
  <si>
    <t>AL 26/08/16</t>
  </si>
  <si>
    <t>AL 02/09/16</t>
  </si>
  <si>
    <t>AL 09/09/16</t>
  </si>
  <si>
    <t>AL 16/09/16</t>
  </si>
  <si>
    <t>AL 23/09/16</t>
  </si>
  <si>
    <t>AL 30/09/16</t>
  </si>
  <si>
    <t>AL 07/10/16</t>
  </si>
  <si>
    <t>AL 14/10/16</t>
  </si>
  <si>
    <t>AL 21/10/16</t>
  </si>
  <si>
    <t>AL 28/10/16</t>
  </si>
  <si>
    <t>AL 04/11/16</t>
  </si>
  <si>
    <t>AL 02/12/16</t>
  </si>
  <si>
    <t>AL 25/11/16</t>
  </si>
  <si>
    <t>AL 11/11/16</t>
  </si>
  <si>
    <t>AL 18/11/16</t>
  </si>
  <si>
    <t>AL 06/12/16</t>
  </si>
  <si>
    <t>AL 16/12/16</t>
  </si>
  <si>
    <t>AL 23/12/16</t>
  </si>
  <si>
    <t>AL 30/12/16</t>
  </si>
  <si>
    <t>AL 06/01/17</t>
  </si>
  <si>
    <t>AL 13/01/17</t>
  </si>
  <si>
    <t>AL 20/01/17</t>
  </si>
  <si>
    <t>AL 27/01/17</t>
  </si>
  <si>
    <t>AL 03/02/17</t>
  </si>
  <si>
    <t>AL 10/02/17</t>
  </si>
  <si>
    <t>AL 17/02/17</t>
  </si>
  <si>
    <t>AL 24/02/17</t>
  </si>
  <si>
    <t>AL 03/03/17</t>
  </si>
  <si>
    <t>AL 10/03/17</t>
  </si>
  <si>
    <t>AL 17/03/17</t>
  </si>
  <si>
    <t>AL 23/03/17</t>
  </si>
  <si>
    <t>AL 31/03/17</t>
  </si>
  <si>
    <t>AL 07/04/17</t>
  </si>
  <si>
    <t>AL 12/04/17</t>
  </si>
  <si>
    <t>AL 20/04/17</t>
  </si>
  <si>
    <t>AL 28/04/17</t>
  </si>
  <si>
    <t>AL 05/05/17</t>
  </si>
  <si>
    <t>AL 12/05/17</t>
  </si>
  <si>
    <t>AL 19/05/17</t>
  </si>
  <si>
    <t>AL 26/05/17</t>
  </si>
  <si>
    <t>AL 02/06/17</t>
  </si>
  <si>
    <t>AL 09/06/17</t>
  </si>
  <si>
    <t>AL 16/06/17</t>
  </si>
  <si>
    <t>AL 23/06/17</t>
  </si>
  <si>
    <t>AL 30/06/17</t>
  </si>
  <si>
    <t>AL 07/07/17</t>
  </si>
  <si>
    <t>AL 14/07/17</t>
  </si>
  <si>
    <t>AL 21/07/17</t>
  </si>
  <si>
    <t>AL 28/07/17</t>
  </si>
  <si>
    <t>AL 04/08/17</t>
  </si>
  <si>
    <t>AL 11/08/17</t>
  </si>
  <si>
    <t>AL 18/08/17</t>
  </si>
  <si>
    <t>AL 25/08/17</t>
  </si>
  <si>
    <t>AL 01/09/17</t>
  </si>
  <si>
    <t>AL15/09/17</t>
  </si>
  <si>
    <t>AL 08/09/17</t>
  </si>
  <si>
    <t>AL 22/09/17</t>
  </si>
  <si>
    <t>AL 29/09/17</t>
  </si>
  <si>
    <t>AL 06/10/17</t>
  </si>
  <si>
    <t>AL 13/10/17</t>
  </si>
  <si>
    <t>AL 20/10/17</t>
  </si>
  <si>
    <t>AL 27/10/17</t>
  </si>
  <si>
    <t>AL 03/11/17</t>
  </si>
  <si>
    <t>AL 10/11/17</t>
  </si>
  <si>
    <t>AL 17/11/17</t>
  </si>
  <si>
    <t>AL 24/11/17</t>
  </si>
  <si>
    <t>AL 01/12/17</t>
  </si>
  <si>
    <t>AL 07/12/17</t>
  </si>
  <si>
    <t>AL 15/12/17</t>
  </si>
  <si>
    <t>AL 22/12/17</t>
  </si>
  <si>
    <t>s/c</t>
  </si>
  <si>
    <t>AL 29/12/17</t>
  </si>
  <si>
    <t>AL 05/01/18</t>
  </si>
  <si>
    <t>AL12/01/18</t>
  </si>
  <si>
    <t>AL19/01/18</t>
  </si>
  <si>
    <t>AL 26/01/18</t>
  </si>
  <si>
    <t>AL 02/02/18</t>
  </si>
  <si>
    <t>AL 09/02/18</t>
  </si>
  <si>
    <t>AL 16/02/18</t>
  </si>
  <si>
    <t>AL 23/02/18</t>
  </si>
  <si>
    <t>AL 02/03/18</t>
  </si>
  <si>
    <t>AL 09/03/18</t>
  </si>
  <si>
    <t>AL 16/03/18</t>
  </si>
  <si>
    <t>AL 23/03/18</t>
  </si>
  <si>
    <t>AL 28/03/18</t>
  </si>
  <si>
    <t>AL 06/04/18</t>
  </si>
  <si>
    <t>AL 13/04/18</t>
  </si>
  <si>
    <t>AL 20/04/18</t>
  </si>
  <si>
    <t>AL 27/04/18</t>
  </si>
  <si>
    <t>AL 04/05/18</t>
  </si>
  <si>
    <t>AL 11/05/18</t>
  </si>
  <si>
    <t>AL 18/05/18</t>
  </si>
  <si>
    <t>AL 24/05/18</t>
  </si>
  <si>
    <t>AL 01/06/18</t>
  </si>
  <si>
    <t>AL 08/06/18</t>
  </si>
  <si>
    <t>AL 15/06/18</t>
  </si>
  <si>
    <t>AL 22/06/18</t>
  </si>
  <si>
    <t>AL 29/06/18</t>
  </si>
  <si>
    <t>AL 06/07/18</t>
  </si>
  <si>
    <t>AL13 /07/18</t>
  </si>
  <si>
    <t>AL 20/07/18</t>
  </si>
  <si>
    <t>AL 27/07/18</t>
  </si>
  <si>
    <t>AL 03/08/18</t>
  </si>
  <si>
    <t>AL 10/08/18</t>
  </si>
  <si>
    <t>AL 17/08/18</t>
  </si>
  <si>
    <t>AL 24/08/18</t>
  </si>
  <si>
    <t>AL 31/08/18</t>
  </si>
  <si>
    <t>AL 07/09/18</t>
  </si>
  <si>
    <t>AL 14/09/18</t>
  </si>
  <si>
    <t>AL 21/09/18</t>
  </si>
  <si>
    <t>AL 28/09/18</t>
  </si>
  <si>
    <t>AL 05/10/18</t>
  </si>
  <si>
    <t>AL 12/10/18</t>
  </si>
  <si>
    <t>s/ct</t>
  </si>
  <si>
    <t>AL 19/10/18</t>
  </si>
  <si>
    <t>AL 26/10/18</t>
  </si>
  <si>
    <t>AL 02/11/18</t>
  </si>
  <si>
    <t>AL 09/11/18</t>
  </si>
  <si>
    <t>AL16/11/18</t>
  </si>
  <si>
    <t>AL 23/11/18</t>
  </si>
  <si>
    <t>AL 29/11/18</t>
  </si>
  <si>
    <t>AL 07/12/18</t>
  </si>
  <si>
    <t>AL 14/12/18</t>
  </si>
  <si>
    <t>s/cot</t>
  </si>
  <si>
    <t>AL 21/12/18</t>
  </si>
  <si>
    <t>AL 28/12/18</t>
  </si>
  <si>
    <t>AL 04/01/19</t>
  </si>
  <si>
    <t>AL 11/01/19</t>
  </si>
  <si>
    <t>AL 18/01/19</t>
  </si>
  <si>
    <t>AL 25/01/19</t>
  </si>
  <si>
    <t>AL 01/02/19</t>
  </si>
  <si>
    <t>AL 08/02/19</t>
  </si>
  <si>
    <t>AL 14/02/19</t>
  </si>
  <si>
    <t>AL 22/02/19</t>
  </si>
  <si>
    <t>AL 01/03/19</t>
  </si>
  <si>
    <t>AL 08/03/19</t>
  </si>
  <si>
    <t>AL 15/03/19</t>
  </si>
  <si>
    <t>AL 22/03/19</t>
  </si>
  <si>
    <t>AL 29/03/19</t>
  </si>
  <si>
    <t>AL 05/04/19</t>
  </si>
  <si>
    <t>AL 26/04/19</t>
  </si>
  <si>
    <t>AL 12/04/19</t>
  </si>
  <si>
    <t>AL 03/05/19</t>
  </si>
  <si>
    <t>AL 10/05/19</t>
  </si>
  <si>
    <t>AL 17/05/19</t>
  </si>
  <si>
    <t>AL 24/05/19</t>
  </si>
  <si>
    <t>AL 31/05/19</t>
  </si>
  <si>
    <t>AL 07/06/19</t>
  </si>
  <si>
    <t>AL 21/06/19</t>
  </si>
  <si>
    <t>AL 14/06/19</t>
  </si>
  <si>
    <t>AL 28/06/19</t>
  </si>
  <si>
    <t>AL 05/07/19</t>
  </si>
  <si>
    <t>AL 12/07/19</t>
  </si>
  <si>
    <t>AL 19/07/19</t>
  </si>
  <si>
    <t>AL 26/07/19</t>
  </si>
  <si>
    <t>AL 02/08/19</t>
  </si>
  <si>
    <t>AL 09/08/19</t>
  </si>
  <si>
    <t>AL 16/08/19</t>
  </si>
  <si>
    <t>AL 23/08/19</t>
  </si>
  <si>
    <t>AL 30/08/19</t>
  </si>
  <si>
    <t>AL 06/09/19</t>
  </si>
  <si>
    <t>AL 13/09/19</t>
  </si>
  <si>
    <t>AL 20/09/19</t>
  </si>
  <si>
    <t>AL 24/09/19</t>
  </si>
  <si>
    <t>AL  04/10/19</t>
  </si>
  <si>
    <t>AL  11/10/19</t>
  </si>
  <si>
    <t>AL  18/10/19</t>
  </si>
  <si>
    <t>AL  25/10/19</t>
  </si>
  <si>
    <t>AL 01/11/19</t>
  </si>
  <si>
    <t>AL 08/11/19</t>
  </si>
  <si>
    <t>AL 15/11/19</t>
  </si>
  <si>
    <t>AL 22/11/19</t>
  </si>
  <si>
    <t>AL 29/11/19</t>
  </si>
  <si>
    <t>AL 06/12/19</t>
  </si>
  <si>
    <t>AL 13/12/19</t>
  </si>
  <si>
    <t>AL 20/12/19</t>
  </si>
  <si>
    <t>AL 27/12/19</t>
  </si>
  <si>
    <t>AL 03/01/20</t>
  </si>
  <si>
    <t>AL 10/01/20</t>
  </si>
  <si>
    <t>AL 17/01/20</t>
  </si>
  <si>
    <t>AL 24/01/20</t>
  </si>
  <si>
    <t>AL 31/01/20</t>
  </si>
  <si>
    <t>AL 07/02/20</t>
  </si>
  <si>
    <t>AL 21/02/20</t>
  </si>
  <si>
    <t>AL 14/02/20</t>
  </si>
  <si>
    <t>AL 28/02/20</t>
  </si>
  <si>
    <t>AL 06/03/20</t>
  </si>
  <si>
    <t>AL 13/03/20</t>
  </si>
  <si>
    <t>AL 20/03/20</t>
  </si>
  <si>
    <t>s/cot.</t>
  </si>
  <si>
    <t>AL 27/03/20</t>
  </si>
  <si>
    <t>AL 03/04/20</t>
  </si>
  <si>
    <t>AL 09/04/20</t>
  </si>
  <si>
    <t>AL 17/04/20</t>
  </si>
  <si>
    <t>AL 24/04/20</t>
  </si>
  <si>
    <t>AL 30/04/20</t>
  </si>
  <si>
    <t>AL 08/05/20</t>
  </si>
  <si>
    <t>AL 15/05/20</t>
  </si>
  <si>
    <t>AL 22/05/20</t>
  </si>
  <si>
    <t>AL 29/05/20</t>
  </si>
  <si>
    <t>AL 05/06/20</t>
  </si>
  <si>
    <t>AL 12/06/20</t>
  </si>
  <si>
    <t>AL 19/06/20</t>
  </si>
  <si>
    <t>AL 26/06/20</t>
  </si>
  <si>
    <t>AL03/07/20</t>
  </si>
  <si>
    <t>AL 10/07/20</t>
  </si>
  <si>
    <t>AL 17/07/20</t>
  </si>
  <si>
    <t>AL 24/07/20</t>
  </si>
  <si>
    <t>AL 31/07/20</t>
  </si>
  <si>
    <t>AL 07/08/20</t>
  </si>
  <si>
    <t>AL 14/08/20</t>
  </si>
  <si>
    <t>AL 21/08/20</t>
  </si>
  <si>
    <t>AL 28/08/20</t>
  </si>
  <si>
    <t>AL 04/09/20</t>
  </si>
  <si>
    <t>AL11/09/20</t>
  </si>
  <si>
    <t>AL 18/09/20</t>
  </si>
  <si>
    <t>AL 25/09/20</t>
  </si>
  <si>
    <t>AL 02/10/20</t>
  </si>
  <si>
    <t>AL 09/10/20</t>
  </si>
  <si>
    <t>AL 16/10/20</t>
  </si>
  <si>
    <t>AL 23/10/20</t>
  </si>
  <si>
    <t>AL 30/10/20</t>
  </si>
  <si>
    <t>AL 06/11/20</t>
  </si>
  <si>
    <t>AL 13/11/20</t>
  </si>
  <si>
    <t>AL 20/11/20</t>
  </si>
  <si>
    <t>AL 27/11/20</t>
  </si>
  <si>
    <t>AL 04/12/20</t>
  </si>
  <si>
    <t>AL 11/12/20</t>
  </si>
  <si>
    <t>AL 18/12/20</t>
  </si>
  <si>
    <t>AL 24/12/20</t>
  </si>
  <si>
    <t>AL 30/12/20</t>
  </si>
  <si>
    <t>AL 08/01/21</t>
  </si>
  <si>
    <t>AL 15/01/21</t>
  </si>
  <si>
    <t>AL 22/01/21</t>
  </si>
  <si>
    <t>AL 29/01/21</t>
  </si>
  <si>
    <t>AL 05/02/21</t>
  </si>
  <si>
    <t>AL 12/02/21</t>
  </si>
  <si>
    <t>AL 19/02/21</t>
  </si>
  <si>
    <t>AL 26/02/21</t>
  </si>
  <si>
    <t>AL 05/03/21</t>
  </si>
  <si>
    <t>AL 12/03/21</t>
  </si>
  <si>
    <t>AL 19/03/21</t>
  </si>
  <si>
    <t>AL 26/03/21</t>
  </si>
  <si>
    <t>AL 31/03/21</t>
  </si>
  <si>
    <t>AL 09/04/21</t>
  </si>
  <si>
    <t>N. ZELANDA</t>
  </si>
  <si>
    <t>AL 16/04/21</t>
  </si>
  <si>
    <t>AL 23/04/21</t>
  </si>
  <si>
    <t>US$ KG.GANCHO</t>
  </si>
  <si>
    <t>AL 30/04/21</t>
  </si>
  <si>
    <t>AL 07/05/21</t>
  </si>
  <si>
    <t>AL 14/05/21</t>
  </si>
  <si>
    <t>AL 21/05/21</t>
  </si>
  <si>
    <t>AL 28/05/21</t>
  </si>
  <si>
    <t>AL 04/06/21</t>
  </si>
  <si>
    <t>AL 11/06/21</t>
  </si>
  <si>
    <t>AL 18/06/21</t>
  </si>
  <si>
    <t>AL 25/06/21</t>
  </si>
  <si>
    <t>AL 02/07/21</t>
  </si>
  <si>
    <t>AL 08/07/21</t>
  </si>
  <si>
    <t>AL 16/07/21</t>
  </si>
  <si>
    <t>AL 23/07/21</t>
  </si>
  <si>
    <t>AL 30/07/21</t>
  </si>
  <si>
    <t>AL 06/08/21</t>
  </si>
  <si>
    <t>AL 13/08/21</t>
  </si>
  <si>
    <t>AL 20/08/21</t>
  </si>
  <si>
    <t>AL 27/08/21</t>
  </si>
  <si>
    <t>AL 03/09/21</t>
  </si>
  <si>
    <t>AL 10/09/21</t>
  </si>
  <si>
    <t>AL 17/09/21</t>
  </si>
  <si>
    <t>AL 24/09/21</t>
  </si>
  <si>
    <t>AL 01/10/21</t>
  </si>
  <si>
    <t>AL 07/10/21</t>
  </si>
  <si>
    <t>AL 15/10/21</t>
  </si>
  <si>
    <t>AL 22/10/21</t>
  </si>
  <si>
    <t>AL 29/10/21</t>
  </si>
  <si>
    <t>AL 05/11/21</t>
  </si>
  <si>
    <t>AL 12/11/21</t>
  </si>
  <si>
    <t>AL 19/11/21</t>
  </si>
  <si>
    <t>AL 26/11/21</t>
  </si>
  <si>
    <t>AL 03/12/21</t>
  </si>
  <si>
    <t>AL 10/12/21</t>
  </si>
  <si>
    <t>AL 17/12/21</t>
  </si>
  <si>
    <t>AL 23/12/21</t>
  </si>
  <si>
    <t>AL 30/12/21</t>
  </si>
  <si>
    <t>AL 07/01/22</t>
  </si>
  <si>
    <t>AL 14/01/22</t>
  </si>
  <si>
    <t>AL 21/01/22</t>
  </si>
  <si>
    <t>AL 28//01/22</t>
  </si>
  <si>
    <t>AL 04/02/22</t>
  </si>
  <si>
    <t>AL 11/02/22</t>
  </si>
  <si>
    <t>AL 18/02/22</t>
  </si>
  <si>
    <t>AL 25/02/22</t>
  </si>
  <si>
    <t>AL 04/03/22</t>
  </si>
  <si>
    <t>AL 11/03/22</t>
  </si>
  <si>
    <t>AL 18/03/22</t>
  </si>
  <si>
    <t>AL 25/03/22</t>
  </si>
  <si>
    <t>AL 01/04/22</t>
  </si>
  <si>
    <t>AL 08/04/22</t>
  </si>
  <si>
    <t>AL 13/04/22</t>
  </si>
  <si>
    <t>AL 22/04/22</t>
  </si>
  <si>
    <t>AL 29/04/22</t>
  </si>
  <si>
    <t>AL 06/05/22</t>
  </si>
  <si>
    <t>AL 13/05/22</t>
  </si>
  <si>
    <t>AL 20/05/22</t>
  </si>
  <si>
    <t>AL 27/05/22</t>
  </si>
  <si>
    <t>AL 03/06/22</t>
  </si>
  <si>
    <t>AL 10/06/22</t>
  </si>
  <si>
    <t>AL 16/06/22</t>
  </si>
  <si>
    <t>AL 24/06/22</t>
  </si>
  <si>
    <t>AL 01/07/22</t>
  </si>
  <si>
    <t>AL 08/07/22</t>
  </si>
  <si>
    <t>AL 15/07/22</t>
  </si>
  <si>
    <t>AL 22/07/22</t>
  </si>
  <si>
    <t>AL 29/07/22</t>
  </si>
  <si>
    <t>AL 05/08/22</t>
  </si>
  <si>
    <t>AL 12/08/22</t>
  </si>
  <si>
    <t>AL 19/08/22</t>
  </si>
  <si>
    <t>AL 26/08/22</t>
  </si>
  <si>
    <t>AL 02/09/22</t>
  </si>
  <si>
    <t>AL 09/09/22</t>
  </si>
  <si>
    <t>S/D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</si>
</sst>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00"/>
    <numFmt numFmtId="165" formatCode="_ [$€-2]\ * #,##0.00_ ;_ [$€-2]\ * \-#,##0.00_ ;_ [$€-2]\ * &quot;-&quot;??_ "/>
  </numFmts>
  <fonts count="1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 Black"/>
      <family val="2"/>
    </font>
    <font>
      <b/>
      <sz val="14"/>
      <name val="Arial Black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/>
    <xf numFmtId="2" fontId="0" fillId="2" borderId="1" xfId="0" applyNumberFormat="1" applyFill="1" applyBorder="1"/>
    <xf numFmtId="2" fontId="0" fillId="2" borderId="1" xfId="0" applyNumberForma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2" fontId="7" fillId="2" borderId="1" xfId="0" applyNumberFormat="1" applyFont="1" applyFill="1" applyBorder="1"/>
    <xf numFmtId="0" fontId="2" fillId="3" borderId="0" xfId="0" applyFont="1" applyFill="1" applyAlignment="1">
      <alignment horizontal="left"/>
    </xf>
    <xf numFmtId="0" fontId="2" fillId="3" borderId="0" xfId="0" applyFont="1" applyFill="1"/>
    <xf numFmtId="0" fontId="0" fillId="3" borderId="0" xfId="0" applyFill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 applyAlignment="1">
      <alignment horizontal="centerContinuous"/>
    </xf>
    <xf numFmtId="0" fontId="5" fillId="3" borderId="4" xfId="0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Continuous"/>
    </xf>
    <xf numFmtId="0" fontId="0" fillId="2" borderId="5" xfId="0" applyFill="1" applyBorder="1"/>
    <xf numFmtId="2" fontId="0" fillId="2" borderId="5" xfId="0" applyNumberFormat="1" applyFill="1" applyBorder="1"/>
    <xf numFmtId="0" fontId="0" fillId="2" borderId="5" xfId="0" applyFill="1" applyBorder="1" applyAlignment="1">
      <alignment horizontal="right"/>
    </xf>
    <xf numFmtId="0" fontId="0" fillId="0" borderId="1" xfId="0" applyFill="1" applyBorder="1"/>
    <xf numFmtId="0" fontId="0" fillId="2" borderId="6" xfId="0" applyFill="1" applyBorder="1" applyAlignment="1">
      <alignment horizontal="right"/>
    </xf>
    <xf numFmtId="0" fontId="0" fillId="0" borderId="7" xfId="0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3" fontId="0" fillId="2" borderId="1" xfId="2" applyFont="1" applyFill="1" applyBorder="1" applyAlignment="1">
      <alignment horizontal="right"/>
    </xf>
    <xf numFmtId="2" fontId="0" fillId="2" borderId="6" xfId="0" applyNumberFormat="1" applyFill="1" applyBorder="1" applyAlignment="1">
      <alignment horizontal="right"/>
    </xf>
    <xf numFmtId="0" fontId="0" fillId="2" borderId="1" xfId="2" applyNumberFormat="1" applyFont="1" applyFill="1" applyBorder="1" applyAlignment="1">
      <alignment horizontal="right"/>
    </xf>
    <xf numFmtId="2" fontId="0" fillId="2" borderId="1" xfId="2" applyNumberFormat="1" applyFont="1" applyFill="1" applyBorder="1" applyAlignment="1"/>
    <xf numFmtId="2" fontId="0" fillId="2" borderId="1" xfId="2" applyNumberFormat="1" applyFont="1" applyFill="1" applyBorder="1" applyAlignment="1">
      <alignment horizontal="right"/>
    </xf>
    <xf numFmtId="0" fontId="0" fillId="0" borderId="0" xfId="0" applyFill="1"/>
    <xf numFmtId="0" fontId="0" fillId="0" borderId="5" xfId="0" applyFill="1" applyBorder="1"/>
    <xf numFmtId="0" fontId="0" fillId="0" borderId="1" xfId="0" applyBorder="1"/>
    <xf numFmtId="0" fontId="0" fillId="2" borderId="6" xfId="2" applyNumberFormat="1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2" fontId="0" fillId="2" borderId="9" xfId="0" applyNumberFormat="1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0" xfId="0" applyFill="1" applyBorder="1"/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Border="1"/>
    <xf numFmtId="0" fontId="0" fillId="0" borderId="10" xfId="0" applyBorder="1"/>
    <xf numFmtId="0" fontId="8" fillId="0" borderId="0" xfId="0" applyFont="1" applyFill="1" applyBorder="1"/>
    <xf numFmtId="0" fontId="8" fillId="0" borderId="0" xfId="0" applyFont="1" applyBorder="1"/>
    <xf numFmtId="0" fontId="8" fillId="0" borderId="0" xfId="0" applyFont="1"/>
    <xf numFmtId="0" fontId="3" fillId="3" borderId="1" xfId="0" applyFont="1" applyFill="1" applyBorder="1" applyAlignment="1">
      <alignment horizontal="justify"/>
    </xf>
    <xf numFmtId="0" fontId="4" fillId="3" borderId="1" xfId="0" applyFont="1" applyFill="1" applyBorder="1" applyAlignment="1">
      <alignment horizontal="justify"/>
    </xf>
    <xf numFmtId="0" fontId="4" fillId="3" borderId="1" xfId="0" quotePrefix="1" applyFont="1" applyFill="1" applyBorder="1" applyAlignment="1">
      <alignment horizontal="justify"/>
    </xf>
    <xf numFmtId="0" fontId="3" fillId="3" borderId="11" xfId="0" applyFont="1" applyFill="1" applyBorder="1" applyAlignment="1">
      <alignment horizontal="justify"/>
    </xf>
    <xf numFmtId="0" fontId="3" fillId="3" borderId="7" xfId="0" applyFont="1" applyFill="1" applyBorder="1" applyAlignment="1">
      <alignment horizontal="justify"/>
    </xf>
    <xf numFmtId="0" fontId="9" fillId="3" borderId="0" xfId="0" applyFont="1" applyFill="1" applyAlignment="1">
      <alignment horizontal="left"/>
    </xf>
    <xf numFmtId="0" fontId="0" fillId="2" borderId="9" xfId="0" applyFill="1" applyBorder="1"/>
    <xf numFmtId="164" fontId="0" fillId="2" borderId="9" xfId="0" applyNumberFormat="1" applyFill="1" applyBorder="1"/>
    <xf numFmtId="2" fontId="0" fillId="2" borderId="9" xfId="0" applyNumberFormat="1" applyFill="1" applyBorder="1"/>
    <xf numFmtId="0" fontId="8" fillId="3" borderId="12" xfId="0" applyFont="1" applyFill="1" applyBorder="1" applyAlignment="1">
      <alignment horizontal="centerContinuous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/>
    <xf numFmtId="0" fontId="3" fillId="3" borderId="14" xfId="0" applyFont="1" applyFill="1" applyBorder="1" applyAlignment="1">
      <alignment horizontal="justify"/>
    </xf>
    <xf numFmtId="0" fontId="5" fillId="3" borderId="15" xfId="0" applyFont="1" applyFill="1" applyBorder="1" applyAlignment="1">
      <alignment horizontal="centerContinuous"/>
    </xf>
    <xf numFmtId="0" fontId="0" fillId="0" borderId="0" xfId="0" applyBorder="1" applyAlignment="1">
      <alignment horizontal="right"/>
    </xf>
    <xf numFmtId="2" fontId="0" fillId="4" borderId="1" xfId="0" applyNumberFormat="1" applyFill="1" applyBorder="1" applyAlignment="1">
      <alignment horizontal="right"/>
    </xf>
    <xf numFmtId="2" fontId="0" fillId="4" borderId="5" xfId="0" applyNumberFormat="1" applyFill="1" applyBorder="1" applyAlignment="1">
      <alignment horizontal="right"/>
    </xf>
    <xf numFmtId="2" fontId="0" fillId="5" borderId="5" xfId="0" applyNumberFormat="1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2" fontId="0" fillId="5" borderId="9" xfId="0" applyNumberFormat="1" applyFill="1" applyBorder="1" applyAlignment="1">
      <alignment horizontal="right"/>
    </xf>
    <xf numFmtId="2" fontId="0" fillId="5" borderId="6" xfId="0" applyNumberFormat="1" applyFill="1" applyBorder="1" applyAlignment="1">
      <alignment horizontal="right"/>
    </xf>
    <xf numFmtId="2" fontId="0" fillId="5" borderId="11" xfId="0" applyNumberForma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2" fontId="7" fillId="3" borderId="6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Border="1"/>
    <xf numFmtId="2" fontId="7" fillId="3" borderId="9" xfId="0" applyNumberFormat="1" applyFont="1" applyFill="1" applyBorder="1" applyAlignment="1">
      <alignment horizontal="right"/>
    </xf>
    <xf numFmtId="2" fontId="7" fillId="4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2" fontId="13" fillId="3" borderId="1" xfId="0" applyNumberFormat="1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right"/>
    </xf>
    <xf numFmtId="2" fontId="13" fillId="4" borderId="1" xfId="0" applyNumberFormat="1" applyFont="1" applyFill="1" applyBorder="1" applyAlignment="1">
      <alignment horizontal="right"/>
    </xf>
    <xf numFmtId="2" fontId="14" fillId="4" borderId="1" xfId="0" applyNumberFormat="1" applyFont="1" applyFill="1" applyBorder="1" applyAlignment="1">
      <alignment horizontal="right"/>
    </xf>
    <xf numFmtId="0" fontId="0" fillId="0" borderId="16" xfId="0" applyFill="1" applyBorder="1"/>
    <xf numFmtId="0" fontId="0" fillId="0" borderId="7" xfId="0" applyBorder="1"/>
    <xf numFmtId="0" fontId="3" fillId="2" borderId="17" xfId="0" applyFont="1" applyFill="1" applyBorder="1"/>
    <xf numFmtId="0" fontId="0" fillId="2" borderId="18" xfId="0" applyFill="1" applyBorder="1" applyAlignment="1">
      <alignment horizontal="right"/>
    </xf>
    <xf numFmtId="0" fontId="3" fillId="2" borderId="19" xfId="0" applyFont="1" applyFill="1" applyBorder="1"/>
    <xf numFmtId="0" fontId="0" fillId="2" borderId="20" xfId="0" applyFill="1" applyBorder="1"/>
    <xf numFmtId="2" fontId="0" fillId="2" borderId="20" xfId="0" applyNumberFormat="1" applyFill="1" applyBorder="1"/>
    <xf numFmtId="0" fontId="0" fillId="2" borderId="20" xfId="0" applyFill="1" applyBorder="1" applyAlignment="1">
      <alignment horizontal="right"/>
    </xf>
    <xf numFmtId="14" fontId="3" fillId="2" borderId="19" xfId="0" applyNumberFormat="1" applyFont="1" applyFill="1" applyBorder="1"/>
    <xf numFmtId="0" fontId="3" fillId="2" borderId="21" xfId="0" applyFont="1" applyFill="1" applyBorder="1"/>
    <xf numFmtId="0" fontId="0" fillId="2" borderId="22" xfId="0" applyFill="1" applyBorder="1"/>
    <xf numFmtId="0" fontId="3" fillId="2" borderId="19" xfId="0" applyFont="1" applyFill="1" applyBorder="1" applyAlignment="1">
      <alignment horizontal="left"/>
    </xf>
    <xf numFmtId="2" fontId="0" fillId="2" borderId="20" xfId="0" applyNumberFormat="1" applyFill="1" applyBorder="1" applyAlignment="1">
      <alignment horizontal="right"/>
    </xf>
    <xf numFmtId="0" fontId="3" fillId="2" borderId="21" xfId="0" applyFont="1" applyFill="1" applyBorder="1" applyAlignment="1">
      <alignment horizontal="left"/>
    </xf>
    <xf numFmtId="0" fontId="0" fillId="2" borderId="22" xfId="0" applyFill="1" applyBorder="1" applyAlignment="1">
      <alignment horizontal="right"/>
    </xf>
    <xf numFmtId="14" fontId="3" fillId="2" borderId="19" xfId="0" applyNumberFormat="1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10" fillId="2" borderId="19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2" fontId="0" fillId="2" borderId="22" xfId="0" applyNumberFormat="1" applyFill="1" applyBorder="1" applyAlignment="1">
      <alignment horizontal="right"/>
    </xf>
    <xf numFmtId="0" fontId="3" fillId="5" borderId="17" xfId="0" applyFont="1" applyFill="1" applyBorder="1" applyAlignment="1">
      <alignment horizontal="left"/>
    </xf>
    <xf numFmtId="2" fontId="0" fillId="5" borderId="22" xfId="0" applyNumberFormat="1" applyFill="1" applyBorder="1" applyAlignment="1">
      <alignment horizontal="right"/>
    </xf>
    <xf numFmtId="0" fontId="3" fillId="5" borderId="25" xfId="0" applyFont="1" applyFill="1" applyBorder="1" applyAlignment="1">
      <alignment horizontal="left"/>
    </xf>
    <xf numFmtId="2" fontId="0" fillId="5" borderId="20" xfId="0" applyNumberFormat="1" applyFill="1" applyBorder="1" applyAlignment="1">
      <alignment horizontal="right"/>
    </xf>
    <xf numFmtId="2" fontId="0" fillId="5" borderId="18" xfId="0" applyNumberFormat="1" applyFill="1" applyBorder="1" applyAlignment="1">
      <alignment horizontal="right"/>
    </xf>
    <xf numFmtId="0" fontId="7" fillId="3" borderId="19" xfId="0" applyFont="1" applyFill="1" applyBorder="1" applyAlignment="1">
      <alignment horizontal="left"/>
    </xf>
    <xf numFmtId="2" fontId="7" fillId="3" borderId="20" xfId="0" applyNumberFormat="1" applyFont="1" applyFill="1" applyBorder="1" applyAlignment="1">
      <alignment horizontal="right"/>
    </xf>
    <xf numFmtId="0" fontId="7" fillId="3" borderId="17" xfId="0" applyFont="1" applyFill="1" applyBorder="1" applyAlignment="1">
      <alignment horizontal="left"/>
    </xf>
    <xf numFmtId="0" fontId="7" fillId="3" borderId="25" xfId="0" applyFont="1" applyFill="1" applyBorder="1" applyAlignment="1">
      <alignment horizontal="left"/>
    </xf>
    <xf numFmtId="0" fontId="7" fillId="4" borderId="19" xfId="0" applyFont="1" applyFill="1" applyBorder="1" applyAlignment="1">
      <alignment horizontal="left"/>
    </xf>
    <xf numFmtId="2" fontId="7" fillId="4" borderId="20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/>
    </xf>
    <xf numFmtId="2" fontId="3" fillId="3" borderId="20" xfId="0" applyNumberFormat="1" applyFont="1" applyFill="1" applyBorder="1" applyAlignment="1">
      <alignment horizontal="right"/>
    </xf>
    <xf numFmtId="0" fontId="3" fillId="4" borderId="19" xfId="0" applyFont="1" applyFill="1" applyBorder="1" applyAlignment="1">
      <alignment horizontal="left"/>
    </xf>
    <xf numFmtId="2" fontId="3" fillId="4" borderId="20" xfId="0" applyNumberFormat="1" applyFont="1" applyFill="1" applyBorder="1" applyAlignment="1">
      <alignment horizontal="right"/>
    </xf>
    <xf numFmtId="0" fontId="3" fillId="4" borderId="21" xfId="0" applyFont="1" applyFill="1" applyBorder="1" applyAlignment="1">
      <alignment horizontal="left"/>
    </xf>
    <xf numFmtId="2" fontId="3" fillId="4" borderId="5" xfId="0" applyNumberFormat="1" applyFont="1" applyFill="1" applyBorder="1" applyAlignment="1">
      <alignment horizontal="right"/>
    </xf>
    <xf numFmtId="2" fontId="14" fillId="4" borderId="5" xfId="0" applyNumberFormat="1" applyFont="1" applyFill="1" applyBorder="1" applyAlignment="1">
      <alignment horizontal="right"/>
    </xf>
    <xf numFmtId="2" fontId="3" fillId="4" borderId="22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left"/>
    </xf>
    <xf numFmtId="2" fontId="15" fillId="4" borderId="1" xfId="0" applyNumberFormat="1" applyFont="1" applyFill="1" applyBorder="1" applyAlignment="1">
      <alignment horizontal="right"/>
    </xf>
    <xf numFmtId="164" fontId="0" fillId="2" borderId="5" xfId="0" applyNumberFormat="1" applyFill="1" applyBorder="1"/>
    <xf numFmtId="164" fontId="0" fillId="2" borderId="1" xfId="0" applyNumberFormat="1" applyFill="1" applyBorder="1" applyAlignment="1">
      <alignment horizontal="right"/>
    </xf>
    <xf numFmtId="164" fontId="0" fillId="2" borderId="0" xfId="0" applyNumberFormat="1" applyFill="1" applyBorder="1" applyAlignment="1">
      <alignment horizontal="right"/>
    </xf>
    <xf numFmtId="164" fontId="0" fillId="2" borderId="1" xfId="2" applyNumberFormat="1" applyFont="1" applyFill="1" applyBorder="1" applyAlignment="1">
      <alignment horizontal="right"/>
    </xf>
    <xf numFmtId="164" fontId="0" fillId="2" borderId="5" xfId="0" applyNumberFormat="1" applyFill="1" applyBorder="1" applyAlignment="1">
      <alignment horizontal="right"/>
    </xf>
    <xf numFmtId="164" fontId="0" fillId="2" borderId="9" xfId="0" applyNumberFormat="1" applyFill="1" applyBorder="1" applyAlignment="1">
      <alignment horizontal="right"/>
    </xf>
    <xf numFmtId="164" fontId="0" fillId="5" borderId="5" xfId="0" applyNumberFormat="1" applyFill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164" fontId="0" fillId="5" borderId="9" xfId="0" applyNumberFormat="1" applyFill="1" applyBorder="1" applyAlignment="1">
      <alignment horizontal="right"/>
    </xf>
    <xf numFmtId="164" fontId="0" fillId="5" borderId="11" xfId="0" applyNumberForma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4" fontId="3" fillId="4" borderId="1" xfId="0" applyNumberFormat="1" applyFont="1" applyFill="1" applyBorder="1" applyAlignment="1">
      <alignment horizontal="right"/>
    </xf>
    <xf numFmtId="164" fontId="3" fillId="4" borderId="5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horizontal="left"/>
    </xf>
    <xf numFmtId="2" fontId="3" fillId="6" borderId="1" xfId="0" applyNumberFormat="1" applyFont="1" applyFill="1" applyBorder="1" applyAlignment="1">
      <alignment horizontal="right"/>
    </xf>
    <xf numFmtId="2" fontId="15" fillId="6" borderId="1" xfId="0" applyNumberFormat="1" applyFont="1" applyFill="1" applyBorder="1" applyAlignment="1">
      <alignment horizontal="right"/>
    </xf>
    <xf numFmtId="164" fontId="3" fillId="6" borderId="1" xfId="0" applyNumberFormat="1" applyFont="1" applyFill="1" applyBorder="1" applyAlignment="1">
      <alignment horizontal="right"/>
    </xf>
    <xf numFmtId="0" fontId="16" fillId="0" borderId="0" xfId="0" applyFont="1" applyFill="1" applyBorder="1"/>
    <xf numFmtId="0" fontId="5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left"/>
    </xf>
    <xf numFmtId="2" fontId="3" fillId="7" borderId="1" xfId="0" applyNumberFormat="1" applyFont="1" applyFill="1" applyBorder="1" applyAlignment="1">
      <alignment horizontal="right"/>
    </xf>
    <xf numFmtId="2" fontId="15" fillId="7" borderId="1" xfId="0" applyNumberFormat="1" applyFont="1" applyFill="1" applyBorder="1" applyAlignment="1">
      <alignment horizontal="right"/>
    </xf>
    <xf numFmtId="164" fontId="3" fillId="7" borderId="1" xfId="0" applyNumberFormat="1" applyFont="1" applyFill="1" applyBorder="1" applyAlignment="1">
      <alignment horizontal="right"/>
    </xf>
    <xf numFmtId="2" fontId="15" fillId="8" borderId="1" xfId="0" applyNumberFormat="1" applyFont="1" applyFill="1" applyBorder="1" applyAlignment="1">
      <alignment horizontal="right"/>
    </xf>
    <xf numFmtId="4" fontId="3" fillId="7" borderId="1" xfId="0" applyNumberFormat="1" applyFont="1" applyFill="1" applyBorder="1"/>
    <xf numFmtId="0" fontId="16" fillId="0" borderId="0" xfId="0" applyFont="1" applyBorder="1"/>
    <xf numFmtId="0" fontId="16" fillId="0" borderId="0" xfId="0" applyFont="1"/>
    <xf numFmtId="0" fontId="1" fillId="0" borderId="0" xfId="0" applyFont="1" applyAlignment="1">
      <alignment horizontal="right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3">
    <cellStyle name="Euro" xfId="1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361820199778023E-2"/>
          <c:y val="3.4257748776508973E-2"/>
          <c:w val="0.81687014428412874"/>
          <c:h val="0.825448613376835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Hoja1!$A$424:$A$708</c:f>
              <c:strCache>
                <c:ptCount val="285"/>
                <c:pt idx="0">
                  <c:v>AL 20/01/17</c:v>
                </c:pt>
                <c:pt idx="1">
                  <c:v>AL 27/01/17</c:v>
                </c:pt>
                <c:pt idx="2">
                  <c:v>AL 03/02/17</c:v>
                </c:pt>
                <c:pt idx="3">
                  <c:v>AL 10/02/17</c:v>
                </c:pt>
                <c:pt idx="4">
                  <c:v>AL 17/02/17</c:v>
                </c:pt>
                <c:pt idx="5">
                  <c:v>AL 24/02/17</c:v>
                </c:pt>
                <c:pt idx="6">
                  <c:v>AL 03/03/17</c:v>
                </c:pt>
                <c:pt idx="7">
                  <c:v>AL 10/03/17</c:v>
                </c:pt>
                <c:pt idx="8">
                  <c:v>AL 17/03/17</c:v>
                </c:pt>
                <c:pt idx="9">
                  <c:v>AL 23/03/17</c:v>
                </c:pt>
                <c:pt idx="10">
                  <c:v>AL 31/03/17</c:v>
                </c:pt>
                <c:pt idx="11">
                  <c:v>AL 07/04/17</c:v>
                </c:pt>
                <c:pt idx="12">
                  <c:v>AL 12/04/17</c:v>
                </c:pt>
                <c:pt idx="13">
                  <c:v>AL 20/04/17</c:v>
                </c:pt>
                <c:pt idx="14">
                  <c:v>AL 28/04/17</c:v>
                </c:pt>
                <c:pt idx="15">
                  <c:v>AL 05/05/17</c:v>
                </c:pt>
                <c:pt idx="16">
                  <c:v>AL 12/05/17</c:v>
                </c:pt>
                <c:pt idx="17">
                  <c:v>AL 19/05/17</c:v>
                </c:pt>
                <c:pt idx="18">
                  <c:v>AL 26/05/17</c:v>
                </c:pt>
                <c:pt idx="19">
                  <c:v>AL 02/06/17</c:v>
                </c:pt>
                <c:pt idx="20">
                  <c:v>AL 09/06/17</c:v>
                </c:pt>
                <c:pt idx="21">
                  <c:v>AL 16/06/17</c:v>
                </c:pt>
                <c:pt idx="22">
                  <c:v>AL 23/06/17</c:v>
                </c:pt>
                <c:pt idx="23">
                  <c:v>AL 30/06/17</c:v>
                </c:pt>
                <c:pt idx="24">
                  <c:v>AL 07/07/17</c:v>
                </c:pt>
                <c:pt idx="25">
                  <c:v>AL 14/07/17</c:v>
                </c:pt>
                <c:pt idx="26">
                  <c:v>AL 21/07/17</c:v>
                </c:pt>
                <c:pt idx="27">
                  <c:v>AL 28/07/17</c:v>
                </c:pt>
                <c:pt idx="28">
                  <c:v>AL 04/08/17</c:v>
                </c:pt>
                <c:pt idx="29">
                  <c:v>AL 11/08/17</c:v>
                </c:pt>
                <c:pt idx="30">
                  <c:v>AL 18/08/17</c:v>
                </c:pt>
                <c:pt idx="31">
                  <c:v>AL 25/08/17</c:v>
                </c:pt>
                <c:pt idx="32">
                  <c:v>AL 01/09/17</c:v>
                </c:pt>
                <c:pt idx="33">
                  <c:v>AL 08/09/17</c:v>
                </c:pt>
                <c:pt idx="34">
                  <c:v>AL15/09/17</c:v>
                </c:pt>
                <c:pt idx="35">
                  <c:v>AL 22/09/17</c:v>
                </c:pt>
                <c:pt idx="36">
                  <c:v>AL 29/09/17</c:v>
                </c:pt>
                <c:pt idx="37">
                  <c:v>AL 06/10/17</c:v>
                </c:pt>
                <c:pt idx="38">
                  <c:v>AL 13/10/17</c:v>
                </c:pt>
                <c:pt idx="39">
                  <c:v>AL 20/10/17</c:v>
                </c:pt>
                <c:pt idx="40">
                  <c:v>AL 27/10/17</c:v>
                </c:pt>
                <c:pt idx="41">
                  <c:v>AL 03/11/17</c:v>
                </c:pt>
                <c:pt idx="42">
                  <c:v>AL 10/11/17</c:v>
                </c:pt>
                <c:pt idx="43">
                  <c:v>AL 17/11/17</c:v>
                </c:pt>
                <c:pt idx="44">
                  <c:v>AL 24/11/17</c:v>
                </c:pt>
                <c:pt idx="45">
                  <c:v>AL 01/12/17</c:v>
                </c:pt>
                <c:pt idx="46">
                  <c:v>AL 07/12/17</c:v>
                </c:pt>
                <c:pt idx="47">
                  <c:v>AL 15/12/17</c:v>
                </c:pt>
                <c:pt idx="48">
                  <c:v>AL 22/12/17</c:v>
                </c:pt>
                <c:pt idx="49">
                  <c:v>AL 29/12/17</c:v>
                </c:pt>
                <c:pt idx="50">
                  <c:v>AL 05/01/18</c:v>
                </c:pt>
                <c:pt idx="51">
                  <c:v>AL12/01/18</c:v>
                </c:pt>
                <c:pt idx="52">
                  <c:v>AL19/01/18</c:v>
                </c:pt>
                <c:pt idx="53">
                  <c:v>AL 26/01/18</c:v>
                </c:pt>
                <c:pt idx="54">
                  <c:v>AL 02/02/18</c:v>
                </c:pt>
                <c:pt idx="55">
                  <c:v>AL 09/02/18</c:v>
                </c:pt>
                <c:pt idx="56">
                  <c:v>AL 16/02/18</c:v>
                </c:pt>
                <c:pt idx="57">
                  <c:v>AL 23/02/18</c:v>
                </c:pt>
                <c:pt idx="58">
                  <c:v>AL 02/03/18</c:v>
                </c:pt>
                <c:pt idx="59">
                  <c:v>AL 09/03/18</c:v>
                </c:pt>
                <c:pt idx="60">
                  <c:v>AL 16/03/18</c:v>
                </c:pt>
                <c:pt idx="61">
                  <c:v>AL 23/03/18</c:v>
                </c:pt>
                <c:pt idx="62">
                  <c:v>AL 28/03/18</c:v>
                </c:pt>
                <c:pt idx="63">
                  <c:v>AL 06/04/18</c:v>
                </c:pt>
                <c:pt idx="64">
                  <c:v>AL 13/04/18</c:v>
                </c:pt>
                <c:pt idx="65">
                  <c:v>AL 20/04/18</c:v>
                </c:pt>
                <c:pt idx="66">
                  <c:v>AL 27/04/18</c:v>
                </c:pt>
                <c:pt idx="67">
                  <c:v>AL 04/05/18</c:v>
                </c:pt>
                <c:pt idx="68">
                  <c:v>AL 11/05/18</c:v>
                </c:pt>
                <c:pt idx="69">
                  <c:v>AL 18/05/18</c:v>
                </c:pt>
                <c:pt idx="70">
                  <c:v>AL 24/05/18</c:v>
                </c:pt>
                <c:pt idx="71">
                  <c:v>AL 01/06/18</c:v>
                </c:pt>
                <c:pt idx="72">
                  <c:v>AL 08/06/18</c:v>
                </c:pt>
                <c:pt idx="73">
                  <c:v>AL 15/06/18</c:v>
                </c:pt>
                <c:pt idx="74">
                  <c:v>AL 22/06/18</c:v>
                </c:pt>
                <c:pt idx="75">
                  <c:v>AL 29/06/18</c:v>
                </c:pt>
                <c:pt idx="76">
                  <c:v>AL 06/07/18</c:v>
                </c:pt>
                <c:pt idx="77">
                  <c:v>AL13 /07/18</c:v>
                </c:pt>
                <c:pt idx="78">
                  <c:v>AL 20/07/18</c:v>
                </c:pt>
                <c:pt idx="79">
                  <c:v>AL 27/07/18</c:v>
                </c:pt>
                <c:pt idx="80">
                  <c:v>AL 03/08/18</c:v>
                </c:pt>
                <c:pt idx="81">
                  <c:v>AL 10/08/18</c:v>
                </c:pt>
                <c:pt idx="82">
                  <c:v>AL 17/08/18</c:v>
                </c:pt>
                <c:pt idx="83">
                  <c:v>AL 24/08/18</c:v>
                </c:pt>
                <c:pt idx="84">
                  <c:v>AL 31/08/18</c:v>
                </c:pt>
                <c:pt idx="85">
                  <c:v>AL 07/09/18</c:v>
                </c:pt>
                <c:pt idx="86">
                  <c:v>AL 14/09/18</c:v>
                </c:pt>
                <c:pt idx="87">
                  <c:v>AL 21/09/18</c:v>
                </c:pt>
                <c:pt idx="88">
                  <c:v>AL 28/09/18</c:v>
                </c:pt>
                <c:pt idx="89">
                  <c:v>AL 05/10/18</c:v>
                </c:pt>
                <c:pt idx="90">
                  <c:v>AL 12/10/18</c:v>
                </c:pt>
                <c:pt idx="91">
                  <c:v>AL 19/10/18</c:v>
                </c:pt>
                <c:pt idx="92">
                  <c:v>AL 26/10/18</c:v>
                </c:pt>
                <c:pt idx="93">
                  <c:v>AL 02/11/18</c:v>
                </c:pt>
                <c:pt idx="94">
                  <c:v>AL 09/11/18</c:v>
                </c:pt>
                <c:pt idx="95">
                  <c:v>AL16/11/18</c:v>
                </c:pt>
                <c:pt idx="96">
                  <c:v>AL 23/11/18</c:v>
                </c:pt>
                <c:pt idx="97">
                  <c:v>AL 29/11/18</c:v>
                </c:pt>
                <c:pt idx="98">
                  <c:v>AL 07/12/18</c:v>
                </c:pt>
                <c:pt idx="99">
                  <c:v>AL 14/12/18</c:v>
                </c:pt>
                <c:pt idx="100">
                  <c:v>AL 21/12/18</c:v>
                </c:pt>
                <c:pt idx="101">
                  <c:v>AL 28/12/18</c:v>
                </c:pt>
                <c:pt idx="102">
                  <c:v>AL 04/01/19</c:v>
                </c:pt>
                <c:pt idx="103">
                  <c:v>AL 11/01/19</c:v>
                </c:pt>
                <c:pt idx="104">
                  <c:v>AL 18/01/19</c:v>
                </c:pt>
                <c:pt idx="105">
                  <c:v>AL 25/01/19</c:v>
                </c:pt>
                <c:pt idx="106">
                  <c:v>AL 01/02/19</c:v>
                </c:pt>
                <c:pt idx="107">
                  <c:v>AL 08/02/19</c:v>
                </c:pt>
                <c:pt idx="108">
                  <c:v>AL 14/02/19</c:v>
                </c:pt>
                <c:pt idx="109">
                  <c:v>AL 22/02/19</c:v>
                </c:pt>
                <c:pt idx="110">
                  <c:v>AL 01/03/19</c:v>
                </c:pt>
                <c:pt idx="111">
                  <c:v>AL 08/03/19</c:v>
                </c:pt>
                <c:pt idx="112">
                  <c:v>AL 15/03/19</c:v>
                </c:pt>
                <c:pt idx="113">
                  <c:v>AL 22/03/19</c:v>
                </c:pt>
                <c:pt idx="114">
                  <c:v>AL 29/03/19</c:v>
                </c:pt>
                <c:pt idx="115">
                  <c:v>AL 05/04/19</c:v>
                </c:pt>
                <c:pt idx="116">
                  <c:v>AL 12/04/19</c:v>
                </c:pt>
                <c:pt idx="117">
                  <c:v>AL 26/04/19</c:v>
                </c:pt>
                <c:pt idx="118">
                  <c:v>AL 03/05/19</c:v>
                </c:pt>
                <c:pt idx="119">
                  <c:v>AL 10/05/19</c:v>
                </c:pt>
                <c:pt idx="120">
                  <c:v>AL 17/05/19</c:v>
                </c:pt>
                <c:pt idx="121">
                  <c:v>AL 24/05/19</c:v>
                </c:pt>
                <c:pt idx="122">
                  <c:v>AL 31/05/19</c:v>
                </c:pt>
                <c:pt idx="123">
                  <c:v>AL 07/06/19</c:v>
                </c:pt>
                <c:pt idx="124">
                  <c:v>AL 14/06/19</c:v>
                </c:pt>
                <c:pt idx="125">
                  <c:v>AL 21/06/19</c:v>
                </c:pt>
                <c:pt idx="126">
                  <c:v>AL 28/06/19</c:v>
                </c:pt>
                <c:pt idx="127">
                  <c:v>AL 05/07/19</c:v>
                </c:pt>
                <c:pt idx="128">
                  <c:v>AL 12/07/19</c:v>
                </c:pt>
                <c:pt idx="129">
                  <c:v>AL 19/07/19</c:v>
                </c:pt>
                <c:pt idx="130">
                  <c:v>AL 26/07/19</c:v>
                </c:pt>
                <c:pt idx="131">
                  <c:v>AL 02/08/19</c:v>
                </c:pt>
                <c:pt idx="132">
                  <c:v>AL 09/08/19</c:v>
                </c:pt>
                <c:pt idx="133">
                  <c:v>AL 16/08/19</c:v>
                </c:pt>
                <c:pt idx="134">
                  <c:v>AL 23/08/19</c:v>
                </c:pt>
                <c:pt idx="135">
                  <c:v>AL 30/08/19</c:v>
                </c:pt>
                <c:pt idx="136">
                  <c:v>AL 06/09/19</c:v>
                </c:pt>
                <c:pt idx="137">
                  <c:v>AL 13/09/19</c:v>
                </c:pt>
                <c:pt idx="138">
                  <c:v>AL 20/09/19</c:v>
                </c:pt>
                <c:pt idx="139">
                  <c:v>AL 24/09/19</c:v>
                </c:pt>
                <c:pt idx="140">
                  <c:v>AL  04/10/19</c:v>
                </c:pt>
                <c:pt idx="141">
                  <c:v>AL  11/10/19</c:v>
                </c:pt>
                <c:pt idx="142">
                  <c:v>AL  18/10/19</c:v>
                </c:pt>
                <c:pt idx="143">
                  <c:v>AL  25/10/19</c:v>
                </c:pt>
                <c:pt idx="144">
                  <c:v>AL 01/11/19</c:v>
                </c:pt>
                <c:pt idx="145">
                  <c:v>AL 08/11/19</c:v>
                </c:pt>
                <c:pt idx="146">
                  <c:v>AL 15/11/19</c:v>
                </c:pt>
                <c:pt idx="147">
                  <c:v>AL 22/11/19</c:v>
                </c:pt>
                <c:pt idx="148">
                  <c:v>AL 29/11/19</c:v>
                </c:pt>
                <c:pt idx="149">
                  <c:v>AL 06/12/19</c:v>
                </c:pt>
                <c:pt idx="150">
                  <c:v>AL 13/12/19</c:v>
                </c:pt>
                <c:pt idx="151">
                  <c:v>AL 20/12/19</c:v>
                </c:pt>
                <c:pt idx="152">
                  <c:v>AL 27/12/19</c:v>
                </c:pt>
                <c:pt idx="153">
                  <c:v>AL 03/01/20</c:v>
                </c:pt>
                <c:pt idx="154">
                  <c:v>AL 10/01/20</c:v>
                </c:pt>
                <c:pt idx="155">
                  <c:v>AL 17/01/20</c:v>
                </c:pt>
                <c:pt idx="156">
                  <c:v>AL 24/01/20</c:v>
                </c:pt>
                <c:pt idx="157">
                  <c:v>AL 31/01/20</c:v>
                </c:pt>
                <c:pt idx="158">
                  <c:v>AL 07/02/20</c:v>
                </c:pt>
                <c:pt idx="159">
                  <c:v>AL 14/02/20</c:v>
                </c:pt>
                <c:pt idx="160">
                  <c:v>AL 21/02/20</c:v>
                </c:pt>
                <c:pt idx="161">
                  <c:v>AL 28/02/20</c:v>
                </c:pt>
                <c:pt idx="162">
                  <c:v>AL 06/03/20</c:v>
                </c:pt>
                <c:pt idx="163">
                  <c:v>AL 13/03/20</c:v>
                </c:pt>
                <c:pt idx="164">
                  <c:v>AL 20/03/20</c:v>
                </c:pt>
                <c:pt idx="165">
                  <c:v>AL 27/03/20</c:v>
                </c:pt>
                <c:pt idx="166">
                  <c:v>AL 03/04/20</c:v>
                </c:pt>
                <c:pt idx="167">
                  <c:v>AL 09/04/20</c:v>
                </c:pt>
                <c:pt idx="168">
                  <c:v>AL 17/04/20</c:v>
                </c:pt>
                <c:pt idx="169">
                  <c:v>AL 24/04/20</c:v>
                </c:pt>
                <c:pt idx="170">
                  <c:v>AL 30/04/20</c:v>
                </c:pt>
                <c:pt idx="171">
                  <c:v>AL 08/05/20</c:v>
                </c:pt>
                <c:pt idx="172">
                  <c:v>AL 15/05/20</c:v>
                </c:pt>
                <c:pt idx="173">
                  <c:v>AL 22/05/20</c:v>
                </c:pt>
                <c:pt idx="174">
                  <c:v>AL 29/05/20</c:v>
                </c:pt>
                <c:pt idx="175">
                  <c:v>AL 05/06/20</c:v>
                </c:pt>
                <c:pt idx="176">
                  <c:v>AL 12/06/20</c:v>
                </c:pt>
                <c:pt idx="177">
                  <c:v>AL 19/06/20</c:v>
                </c:pt>
                <c:pt idx="178">
                  <c:v>AL 26/06/20</c:v>
                </c:pt>
                <c:pt idx="179">
                  <c:v>AL03/07/20</c:v>
                </c:pt>
                <c:pt idx="180">
                  <c:v>AL 10/07/20</c:v>
                </c:pt>
                <c:pt idx="181">
                  <c:v>AL 17/07/20</c:v>
                </c:pt>
                <c:pt idx="182">
                  <c:v>AL 24/07/20</c:v>
                </c:pt>
                <c:pt idx="183">
                  <c:v>AL 31/07/20</c:v>
                </c:pt>
                <c:pt idx="184">
                  <c:v>AL 07/08/20</c:v>
                </c:pt>
                <c:pt idx="185">
                  <c:v>AL 14/08/20</c:v>
                </c:pt>
                <c:pt idx="186">
                  <c:v>AL 21/08/20</c:v>
                </c:pt>
                <c:pt idx="187">
                  <c:v>AL 28/08/20</c:v>
                </c:pt>
                <c:pt idx="188">
                  <c:v>AL 04/09/20</c:v>
                </c:pt>
                <c:pt idx="189">
                  <c:v>AL11/09/20</c:v>
                </c:pt>
                <c:pt idx="190">
                  <c:v>AL 18/09/20</c:v>
                </c:pt>
                <c:pt idx="191">
                  <c:v>AL 25/09/20</c:v>
                </c:pt>
                <c:pt idx="192">
                  <c:v>AL 02/10/20</c:v>
                </c:pt>
                <c:pt idx="193">
                  <c:v>AL 09/10/20</c:v>
                </c:pt>
                <c:pt idx="194">
                  <c:v>AL 16/10/20</c:v>
                </c:pt>
                <c:pt idx="195">
                  <c:v>AL 23/10/20</c:v>
                </c:pt>
                <c:pt idx="196">
                  <c:v>AL 30/10/20</c:v>
                </c:pt>
                <c:pt idx="197">
                  <c:v>AL 06/11/20</c:v>
                </c:pt>
                <c:pt idx="198">
                  <c:v>AL 13/11/20</c:v>
                </c:pt>
                <c:pt idx="199">
                  <c:v>AL 20/11/20</c:v>
                </c:pt>
                <c:pt idx="200">
                  <c:v>AL 27/11/20</c:v>
                </c:pt>
                <c:pt idx="201">
                  <c:v>AL 04/12/20</c:v>
                </c:pt>
                <c:pt idx="202">
                  <c:v>AL 11/12/20</c:v>
                </c:pt>
                <c:pt idx="203">
                  <c:v>AL 18/12/20</c:v>
                </c:pt>
                <c:pt idx="204">
                  <c:v>AL 24/12/20</c:v>
                </c:pt>
                <c:pt idx="205">
                  <c:v>AL 30/12/20</c:v>
                </c:pt>
                <c:pt idx="206">
                  <c:v>AL 08/01/21</c:v>
                </c:pt>
                <c:pt idx="207">
                  <c:v>AL 15/01/21</c:v>
                </c:pt>
                <c:pt idx="208">
                  <c:v>AL 22/01/21</c:v>
                </c:pt>
                <c:pt idx="209">
                  <c:v>AL 29/01/21</c:v>
                </c:pt>
                <c:pt idx="210">
                  <c:v>AL 05/02/21</c:v>
                </c:pt>
                <c:pt idx="211">
                  <c:v>AL 12/02/21</c:v>
                </c:pt>
                <c:pt idx="212">
                  <c:v>AL 19/02/21</c:v>
                </c:pt>
                <c:pt idx="213">
                  <c:v>AL 26/02/21</c:v>
                </c:pt>
                <c:pt idx="214">
                  <c:v>AL 05/03/21</c:v>
                </c:pt>
                <c:pt idx="215">
                  <c:v>AL 12/03/21</c:v>
                </c:pt>
                <c:pt idx="216">
                  <c:v>AL 19/03/21</c:v>
                </c:pt>
                <c:pt idx="217">
                  <c:v>AL 26/03/21</c:v>
                </c:pt>
                <c:pt idx="218">
                  <c:v>AL 31/03/21</c:v>
                </c:pt>
                <c:pt idx="219">
                  <c:v>AL 09/04/21</c:v>
                </c:pt>
                <c:pt idx="220">
                  <c:v>AL 16/04/21</c:v>
                </c:pt>
                <c:pt idx="221">
                  <c:v>AL 23/04/21</c:v>
                </c:pt>
                <c:pt idx="222">
                  <c:v>AL 30/04/21</c:v>
                </c:pt>
                <c:pt idx="223">
                  <c:v>AL 07/05/21</c:v>
                </c:pt>
                <c:pt idx="224">
                  <c:v>AL 14/05/21</c:v>
                </c:pt>
                <c:pt idx="225">
                  <c:v>AL 21/05/21</c:v>
                </c:pt>
                <c:pt idx="226">
                  <c:v>AL 28/05/21</c:v>
                </c:pt>
                <c:pt idx="227">
                  <c:v>AL 04/06/21</c:v>
                </c:pt>
                <c:pt idx="228">
                  <c:v>AL 11/06/21</c:v>
                </c:pt>
                <c:pt idx="229">
                  <c:v>AL 18/06/21</c:v>
                </c:pt>
                <c:pt idx="230">
                  <c:v>AL 25/06/21</c:v>
                </c:pt>
                <c:pt idx="231">
                  <c:v>AL 02/07/21</c:v>
                </c:pt>
                <c:pt idx="232">
                  <c:v>AL 08/07/21</c:v>
                </c:pt>
                <c:pt idx="233">
                  <c:v>AL 16/07/21</c:v>
                </c:pt>
                <c:pt idx="234">
                  <c:v>AL 23/07/21</c:v>
                </c:pt>
                <c:pt idx="235">
                  <c:v>AL 30/07/21</c:v>
                </c:pt>
                <c:pt idx="236">
                  <c:v>AL 06/08/21</c:v>
                </c:pt>
                <c:pt idx="237">
                  <c:v>AL 13/08/21</c:v>
                </c:pt>
                <c:pt idx="238">
                  <c:v>AL 20/08/21</c:v>
                </c:pt>
                <c:pt idx="239">
                  <c:v>AL 27/08/21</c:v>
                </c:pt>
                <c:pt idx="240">
                  <c:v>AL 03/09/21</c:v>
                </c:pt>
                <c:pt idx="241">
                  <c:v>AL 10/09/21</c:v>
                </c:pt>
                <c:pt idx="242">
                  <c:v>AL 17/09/21</c:v>
                </c:pt>
                <c:pt idx="243">
                  <c:v>AL 24/09/21</c:v>
                </c:pt>
                <c:pt idx="244">
                  <c:v>AL 01/10/21</c:v>
                </c:pt>
                <c:pt idx="245">
                  <c:v>AL 07/10/21</c:v>
                </c:pt>
                <c:pt idx="246">
                  <c:v>AL 15/10/21</c:v>
                </c:pt>
                <c:pt idx="247">
                  <c:v>AL 22/10/21</c:v>
                </c:pt>
                <c:pt idx="248">
                  <c:v>AL 29/10/21</c:v>
                </c:pt>
                <c:pt idx="249">
                  <c:v>AL 05/11/21</c:v>
                </c:pt>
                <c:pt idx="250">
                  <c:v>AL 12/11/21</c:v>
                </c:pt>
                <c:pt idx="251">
                  <c:v>AL 19/11/21</c:v>
                </c:pt>
                <c:pt idx="252">
                  <c:v>AL 26/11/21</c:v>
                </c:pt>
                <c:pt idx="253">
                  <c:v>AL 03/12/21</c:v>
                </c:pt>
                <c:pt idx="254">
                  <c:v>AL 10/12/21</c:v>
                </c:pt>
                <c:pt idx="255">
                  <c:v>AL 17/12/21</c:v>
                </c:pt>
                <c:pt idx="256">
                  <c:v>AL 23/12/21</c:v>
                </c:pt>
                <c:pt idx="257">
                  <c:v>AL 30/12/21</c:v>
                </c:pt>
                <c:pt idx="258">
                  <c:v>AL 07/01/22</c:v>
                </c:pt>
                <c:pt idx="259">
                  <c:v>AL 14/01/22</c:v>
                </c:pt>
                <c:pt idx="260">
                  <c:v>AL 21/01/22</c:v>
                </c:pt>
                <c:pt idx="261">
                  <c:v>AL 28//01/22</c:v>
                </c:pt>
                <c:pt idx="262">
                  <c:v>AL 04/02/22</c:v>
                </c:pt>
                <c:pt idx="263">
                  <c:v>AL 11/02/22</c:v>
                </c:pt>
                <c:pt idx="264">
                  <c:v>AL 18/02/22</c:v>
                </c:pt>
                <c:pt idx="265">
                  <c:v>AL 25/02/22</c:v>
                </c:pt>
                <c:pt idx="266">
                  <c:v>AL 04/03/22</c:v>
                </c:pt>
                <c:pt idx="267">
                  <c:v>AL 11/03/22</c:v>
                </c:pt>
                <c:pt idx="268">
                  <c:v>AL 18/03/22</c:v>
                </c:pt>
                <c:pt idx="269">
                  <c:v>AL 25/03/22</c:v>
                </c:pt>
                <c:pt idx="270">
                  <c:v>AL 01/04/22</c:v>
                </c:pt>
                <c:pt idx="271">
                  <c:v>AL 08/04/22</c:v>
                </c:pt>
                <c:pt idx="272">
                  <c:v>AL 13/04/22</c:v>
                </c:pt>
                <c:pt idx="273">
                  <c:v>AL 22/04/22</c:v>
                </c:pt>
                <c:pt idx="274">
                  <c:v>AL 29/04/22</c:v>
                </c:pt>
                <c:pt idx="275">
                  <c:v>AL 06/05/22</c:v>
                </c:pt>
                <c:pt idx="276">
                  <c:v>AL 13/05/22</c:v>
                </c:pt>
                <c:pt idx="277">
                  <c:v>AL 20/05/22</c:v>
                </c:pt>
                <c:pt idx="278">
                  <c:v>AL 27/05/22</c:v>
                </c:pt>
                <c:pt idx="279">
                  <c:v>AL 03/06/22</c:v>
                </c:pt>
                <c:pt idx="280">
                  <c:v>AL 10/06/22</c:v>
                </c:pt>
                <c:pt idx="281">
                  <c:v>AL 16/06/22</c:v>
                </c:pt>
                <c:pt idx="282">
                  <c:v>AL 24/06/22</c:v>
                </c:pt>
                <c:pt idx="283">
                  <c:v>AL 01/07/22</c:v>
                </c:pt>
                <c:pt idx="284">
                  <c:v>AL 08/07/22</c:v>
                </c:pt>
              </c:strCache>
            </c:strRef>
          </c:cat>
          <c:val>
            <c:numRef>
              <c:f>Hoja1!$O$424:$O$708</c:f>
              <c:numCache>
                <c:formatCode>0.00</c:formatCode>
                <c:ptCount val="285"/>
                <c:pt idx="0">
                  <c:v>4.5297369999999999</c:v>
                </c:pt>
                <c:pt idx="1">
                  <c:v>4.4149950000000002</c:v>
                </c:pt>
                <c:pt idx="2">
                  <c:v>4.3949100000000003</c:v>
                </c:pt>
                <c:pt idx="3">
                  <c:v>4.4312870000000002</c:v>
                </c:pt>
                <c:pt idx="4">
                  <c:v>4.3268380000000004</c:v>
                </c:pt>
                <c:pt idx="5">
                  <c:v>4.3727039999999997</c:v>
                </c:pt>
                <c:pt idx="6">
                  <c:v>4.1494559999999998</c:v>
                </c:pt>
                <c:pt idx="7">
                  <c:v>4.0419939999999999</c:v>
                </c:pt>
                <c:pt idx="8">
                  <c:v>4.1159440000000007</c:v>
                </c:pt>
                <c:pt idx="9">
                  <c:v>4.2767200000000001</c:v>
                </c:pt>
                <c:pt idx="10">
                  <c:v>4.4498790000000001</c:v>
                </c:pt>
                <c:pt idx="11">
                  <c:v>4.3407629999999999</c:v>
                </c:pt>
                <c:pt idx="12">
                  <c:v>4.4039799999999998</c:v>
                </c:pt>
                <c:pt idx="13">
                  <c:v>4.5005480000000002</c:v>
                </c:pt>
                <c:pt idx="14">
                  <c:v>4.5520960000000006</c:v>
                </c:pt>
                <c:pt idx="15">
                  <c:v>4.2385199999999994</c:v>
                </c:pt>
                <c:pt idx="16">
                  <c:v>3.9887929999999998</c:v>
                </c:pt>
                <c:pt idx="17">
                  <c:v>4.2739199999999995</c:v>
                </c:pt>
                <c:pt idx="18">
                  <c:v>4.0717367199999996</c:v>
                </c:pt>
                <c:pt idx="19">
                  <c:v>4.0879659999999998</c:v>
                </c:pt>
                <c:pt idx="20">
                  <c:v>4.2117840000000006</c:v>
                </c:pt>
                <c:pt idx="21">
                  <c:v>4.212256</c:v>
                </c:pt>
                <c:pt idx="22">
                  <c:v>4.2352320000000008</c:v>
                </c:pt>
                <c:pt idx="23">
                  <c:v>3.9531399999999999</c:v>
                </c:pt>
                <c:pt idx="24">
                  <c:v>4.2242879999999996</c:v>
                </c:pt>
                <c:pt idx="25">
                  <c:v>4.1216889999999999</c:v>
                </c:pt>
                <c:pt idx="26">
                  <c:v>4.3774500000000005</c:v>
                </c:pt>
                <c:pt idx="27">
                  <c:v>4.260205</c:v>
                </c:pt>
                <c:pt idx="28">
                  <c:v>4.2352179999999997</c:v>
                </c:pt>
                <c:pt idx="29">
                  <c:v>4.0597450000000004</c:v>
                </c:pt>
                <c:pt idx="30">
                  <c:v>4.0503200000000001</c:v>
                </c:pt>
                <c:pt idx="31">
                  <c:v>3.9356940000000002</c:v>
                </c:pt>
                <c:pt idx="32">
                  <c:v>3.9725000000000001</c:v>
                </c:pt>
                <c:pt idx="33">
                  <c:v>4.2307559999999995</c:v>
                </c:pt>
                <c:pt idx="34">
                  <c:v>3.9578039999999994</c:v>
                </c:pt>
                <c:pt idx="35">
                  <c:v>3.7994280000000002</c:v>
                </c:pt>
                <c:pt idx="36">
                  <c:v>3.6202320000000001</c:v>
                </c:pt>
                <c:pt idx="37">
                  <c:v>3.9135599999999999</c:v>
                </c:pt>
                <c:pt idx="38">
                  <c:v>3.7085759999999999</c:v>
                </c:pt>
                <c:pt idx="39">
                  <c:v>3.970815</c:v>
                </c:pt>
                <c:pt idx="40">
                  <c:v>3.924992</c:v>
                </c:pt>
                <c:pt idx="41">
                  <c:v>4.0514250000000001</c:v>
                </c:pt>
                <c:pt idx="42">
                  <c:v>4.0704000000000002</c:v>
                </c:pt>
                <c:pt idx="43">
                  <c:v>3.9316199999999997</c:v>
                </c:pt>
                <c:pt idx="44">
                  <c:v>3.9883980000000001</c:v>
                </c:pt>
                <c:pt idx="45">
                  <c:v>4.0478100000000001</c:v>
                </c:pt>
                <c:pt idx="46">
                  <c:v>3.8290799999999998</c:v>
                </c:pt>
                <c:pt idx="47">
                  <c:v>3.9168150000000002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3.8619350000000003</c:v>
                </c:pt>
                <c:pt idx="52">
                  <c:v>4.01349</c:v>
                </c:pt>
                <c:pt idx="53">
                  <c:v>3.9952966499999998</c:v>
                </c:pt>
                <c:pt idx="54">
                  <c:v>3.7721670000000005</c:v>
                </c:pt>
                <c:pt idx="55">
                  <c:v>3.8258719999999999</c:v>
                </c:pt>
                <c:pt idx="56">
                  <c:v>3.7557440000000004</c:v>
                </c:pt>
                <c:pt idx="57">
                  <c:v>3.771328</c:v>
                </c:pt>
                <c:pt idx="58">
                  <c:v>3.8795000000000002</c:v>
                </c:pt>
                <c:pt idx="59">
                  <c:v>3.9766020000000002</c:v>
                </c:pt>
                <c:pt idx="60">
                  <c:v>3.94001</c:v>
                </c:pt>
                <c:pt idx="61">
                  <c:v>3.8474999999999997</c:v>
                </c:pt>
                <c:pt idx="62">
                  <c:v>3.9341970000000002</c:v>
                </c:pt>
                <c:pt idx="63">
                  <c:v>3.8343159999999998</c:v>
                </c:pt>
                <c:pt idx="64">
                  <c:v>3.7451819999999998</c:v>
                </c:pt>
                <c:pt idx="65">
                  <c:v>3.7282700000000002</c:v>
                </c:pt>
                <c:pt idx="66">
                  <c:v>3.5569919999999997</c:v>
                </c:pt>
                <c:pt idx="67">
                  <c:v>3.5089800000000002</c:v>
                </c:pt>
                <c:pt idx="68">
                  <c:v>3.6163199999999995</c:v>
                </c:pt>
                <c:pt idx="69">
                  <c:v>3.6433199999999997</c:v>
                </c:pt>
                <c:pt idx="70">
                  <c:v>3.6076039999999998</c:v>
                </c:pt>
                <c:pt idx="71">
                  <c:v>3.6624280000000002</c:v>
                </c:pt>
                <c:pt idx="72">
                  <c:v>3.7229519999999998</c:v>
                </c:pt>
                <c:pt idx="73">
                  <c:v>3.6292619999999998</c:v>
                </c:pt>
                <c:pt idx="74">
                  <c:v>3.6068639999999998</c:v>
                </c:pt>
                <c:pt idx="75">
                  <c:v>3.5436640000000001</c:v>
                </c:pt>
                <c:pt idx="76">
                  <c:v>3.6329279999999997</c:v>
                </c:pt>
                <c:pt idx="77">
                  <c:v>3.88815</c:v>
                </c:pt>
                <c:pt idx="78">
                  <c:v>3.8918880000000002</c:v>
                </c:pt>
                <c:pt idx="79">
                  <c:v>3.8590078000000001</c:v>
                </c:pt>
                <c:pt idx="80">
                  <c:v>3.6648780000000003</c:v>
                </c:pt>
                <c:pt idx="81">
                  <c:v>3.6285000000000003</c:v>
                </c:pt>
                <c:pt idx="82">
                  <c:v>3.5999680000000001</c:v>
                </c:pt>
                <c:pt idx="83">
                  <c:v>3.4297230000000001</c:v>
                </c:pt>
                <c:pt idx="84">
                  <c:v>3.4794560000000003</c:v>
                </c:pt>
                <c:pt idx="85">
                  <c:v>3.8216069999999998</c:v>
                </c:pt>
                <c:pt idx="86">
                  <c:v>3.6036069999999998</c:v>
                </c:pt>
                <c:pt idx="87">
                  <c:v>3.6362130000000001</c:v>
                </c:pt>
                <c:pt idx="88">
                  <c:v>3.585855</c:v>
                </c:pt>
                <c:pt idx="89">
                  <c:v>3.4283898000000002</c:v>
                </c:pt>
                <c:pt idx="90">
                  <c:v>3.4088034999999999</c:v>
                </c:pt>
                <c:pt idx="91">
                  <c:v>3.7214065000000005</c:v>
                </c:pt>
                <c:pt idx="92">
                  <c:v>3.6750389999999999</c:v>
                </c:pt>
                <c:pt idx="93">
                  <c:v>3.8464020000000003</c:v>
                </c:pt>
                <c:pt idx="94">
                  <c:v>3.7793580000000002</c:v>
                </c:pt>
                <c:pt idx="95">
                  <c:v>3.7306119999999998</c:v>
                </c:pt>
                <c:pt idx="96">
                  <c:v>3.8474240000000002</c:v>
                </c:pt>
                <c:pt idx="97">
                  <c:v>3.7609379999999999</c:v>
                </c:pt>
                <c:pt idx="98">
                  <c:v>3.6970850000000004</c:v>
                </c:pt>
                <c:pt idx="99">
                  <c:v>3.6341750000000004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3.6300914999999998</c:v>
                </c:pt>
                <c:pt idx="104">
                  <c:v>3.5533420000000007</c:v>
                </c:pt>
                <c:pt idx="105">
                  <c:v>3.2732700000000001</c:v>
                </c:pt>
                <c:pt idx="106">
                  <c:v>3.4696979999999997</c:v>
                </c:pt>
                <c:pt idx="107">
                  <c:v>3.4434999999999998</c:v>
                </c:pt>
                <c:pt idx="108">
                  <c:v>3.3932360000000004</c:v>
                </c:pt>
                <c:pt idx="109">
                  <c:v>3.3507320000000003</c:v>
                </c:pt>
                <c:pt idx="110">
                  <c:v>3.3838839999999997</c:v>
                </c:pt>
                <c:pt idx="111">
                  <c:v>3.3331680000000006</c:v>
                </c:pt>
                <c:pt idx="112">
                  <c:v>3.0582790000000002</c:v>
                </c:pt>
                <c:pt idx="113">
                  <c:v>3.41472</c:v>
                </c:pt>
                <c:pt idx="114">
                  <c:v>3.5285440000000001</c:v>
                </c:pt>
                <c:pt idx="115">
                  <c:v>3.7221910000000005</c:v>
                </c:pt>
                <c:pt idx="116">
                  <c:v>3.6474880000000001</c:v>
                </c:pt>
                <c:pt idx="117">
                  <c:v>3.4794399999999999</c:v>
                </c:pt>
                <c:pt idx="118">
                  <c:v>3.561982</c:v>
                </c:pt>
                <c:pt idx="119">
                  <c:v>3.6611880000000001</c:v>
                </c:pt>
                <c:pt idx="120">
                  <c:v>3.5874799999999998</c:v>
                </c:pt>
                <c:pt idx="121">
                  <c:v>3.5843600000000002</c:v>
                </c:pt>
                <c:pt idx="122">
                  <c:v>3.518208</c:v>
                </c:pt>
                <c:pt idx="123">
                  <c:v>3.5020000000000002</c:v>
                </c:pt>
                <c:pt idx="124">
                  <c:v>3.5676240000000004</c:v>
                </c:pt>
                <c:pt idx="125">
                  <c:v>3.5609919999999997</c:v>
                </c:pt>
                <c:pt idx="126">
                  <c:v>3.7084099999999998</c:v>
                </c:pt>
                <c:pt idx="127">
                  <c:v>3.4954620000000003</c:v>
                </c:pt>
                <c:pt idx="128">
                  <c:v>3.8276280000000003</c:v>
                </c:pt>
                <c:pt idx="129">
                  <c:v>3.6316079999999999</c:v>
                </c:pt>
                <c:pt idx="130">
                  <c:v>3.7577860000000003</c:v>
                </c:pt>
                <c:pt idx="131">
                  <c:v>3.7332000000000005</c:v>
                </c:pt>
                <c:pt idx="132">
                  <c:v>3.8550260000000005</c:v>
                </c:pt>
                <c:pt idx="133">
                  <c:v>3.6256949999999994</c:v>
                </c:pt>
                <c:pt idx="134">
                  <c:v>3.6425619999999994</c:v>
                </c:pt>
                <c:pt idx="135">
                  <c:v>3.7244550000000003</c:v>
                </c:pt>
                <c:pt idx="136">
                  <c:v>3.7016309999999994</c:v>
                </c:pt>
                <c:pt idx="137">
                  <c:v>3.8280599999999998</c:v>
                </c:pt>
                <c:pt idx="138">
                  <c:v>3.7641200000000001</c:v>
                </c:pt>
                <c:pt idx="139">
                  <c:v>3.5568119999999999</c:v>
                </c:pt>
                <c:pt idx="140">
                  <c:v>3.5547750000000002</c:v>
                </c:pt>
                <c:pt idx="141">
                  <c:v>3.6338789999999999</c:v>
                </c:pt>
                <c:pt idx="142">
                  <c:v>3.7106240000000006</c:v>
                </c:pt>
                <c:pt idx="143">
                  <c:v>3.6607289999999999</c:v>
                </c:pt>
                <c:pt idx="144">
                  <c:v>3.6538200000000001</c:v>
                </c:pt>
                <c:pt idx="145">
                  <c:v>3.5698849999999998</c:v>
                </c:pt>
                <c:pt idx="146">
                  <c:v>3.65442</c:v>
                </c:pt>
                <c:pt idx="147">
                  <c:v>3.6644399999999999</c:v>
                </c:pt>
                <c:pt idx="148">
                  <c:v>3.5906219999999998</c:v>
                </c:pt>
                <c:pt idx="149">
                  <c:v>3.4218299999999999</c:v>
                </c:pt>
                <c:pt idx="150">
                  <c:v>3.5207899999999999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3.5090460000000001</c:v>
                </c:pt>
                <c:pt idx="156">
                  <c:v>3.6012544999999996</c:v>
                </c:pt>
                <c:pt idx="157">
                  <c:v>3.6419009999999994</c:v>
                </c:pt>
                <c:pt idx="158">
                  <c:v>3.7424360000000001</c:v>
                </c:pt>
                <c:pt idx="159">
                  <c:v>3.9671600000000002</c:v>
                </c:pt>
                <c:pt idx="160">
                  <c:v>4.1412499999999994</c:v>
                </c:pt>
                <c:pt idx="161">
                  <c:v>4.0467000000000004</c:v>
                </c:pt>
                <c:pt idx="162">
                  <c:v>4.2282629999999992</c:v>
                </c:pt>
                <c:pt idx="163">
                  <c:v>4.0655520000000003</c:v>
                </c:pt>
                <c:pt idx="164">
                  <c:v>3.8967200000000002</c:v>
                </c:pt>
                <c:pt idx="165">
                  <c:v>3.7687680000000001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4.6217249999999996</c:v>
                </c:pt>
                <c:pt idx="177">
                  <c:v>4.7511239999999999</c:v>
                </c:pt>
                <c:pt idx="178">
                  <c:v>4.8084210000000001</c:v>
                </c:pt>
                <c:pt idx="179">
                  <c:v>4.7760959999999999</c:v>
                </c:pt>
                <c:pt idx="180">
                  <c:v>4.7655449999999995</c:v>
                </c:pt>
                <c:pt idx="181">
                  <c:v>4.578633</c:v>
                </c:pt>
                <c:pt idx="182">
                  <c:v>4.4251690000000004</c:v>
                </c:pt>
                <c:pt idx="183">
                  <c:v>4.7290460000000003</c:v>
                </c:pt>
                <c:pt idx="184">
                  <c:v>4.8585599999999998</c:v>
                </c:pt>
                <c:pt idx="185">
                  <c:v>4.6922939999999995</c:v>
                </c:pt>
                <c:pt idx="186">
                  <c:v>4.8988060000000004</c:v>
                </c:pt>
                <c:pt idx="187">
                  <c:v>5.1271320000000005</c:v>
                </c:pt>
                <c:pt idx="188">
                  <c:v>4.8206729999999993</c:v>
                </c:pt>
                <c:pt idx="189">
                  <c:v>4.9558480000000005</c:v>
                </c:pt>
                <c:pt idx="190">
                  <c:v>4.8604850000000006</c:v>
                </c:pt>
                <c:pt idx="191">
                  <c:v>4.904846</c:v>
                </c:pt>
                <c:pt idx="192">
                  <c:v>4.9390200000000002</c:v>
                </c:pt>
                <c:pt idx="193">
                  <c:v>4.8872119999999999</c:v>
                </c:pt>
                <c:pt idx="194">
                  <c:v>5.0353020000000006</c:v>
                </c:pt>
                <c:pt idx="195">
                  <c:v>4.9523840000000003</c:v>
                </c:pt>
                <c:pt idx="196">
                  <c:v>5.0637600000000003</c:v>
                </c:pt>
                <c:pt idx="197">
                  <c:v>5.3668339999999999</c:v>
                </c:pt>
                <c:pt idx="198">
                  <c:v>5.3083859999999996</c:v>
                </c:pt>
                <c:pt idx="199">
                  <c:v>5.3669120000000001</c:v>
                </c:pt>
                <c:pt idx="200">
                  <c:v>5.3963459999999994</c:v>
                </c:pt>
                <c:pt idx="201">
                  <c:v>5.2575820000000002</c:v>
                </c:pt>
                <c:pt idx="202">
                  <c:v>5.1503680000000003</c:v>
                </c:pt>
                <c:pt idx="203">
                  <c:v>5.3389420000000003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5.4292689999999997</c:v>
                </c:pt>
                <c:pt idx="208">
                  <c:v>5.8758340000000002</c:v>
                </c:pt>
                <c:pt idx="209">
                  <c:v>5.6871749999999999</c:v>
                </c:pt>
                <c:pt idx="210">
                  <c:v>5.7630739999999996</c:v>
                </c:pt>
                <c:pt idx="211">
                  <c:v>5.8533020000000002</c:v>
                </c:pt>
                <c:pt idx="212">
                  <c:v>5.7601459999999998</c:v>
                </c:pt>
                <c:pt idx="213">
                  <c:v>5.9656479999999998</c:v>
                </c:pt>
                <c:pt idx="214">
                  <c:v>5.8220870000000007</c:v>
                </c:pt>
                <c:pt idx="215">
                  <c:v>5.4073260000000003</c:v>
                </c:pt>
                <c:pt idx="216">
                  <c:v>5.6415199999999999</c:v>
                </c:pt>
                <c:pt idx="217">
                  <c:v>5.5319399999999996</c:v>
                </c:pt>
                <c:pt idx="218">
                  <c:v>0</c:v>
                </c:pt>
                <c:pt idx="219">
                  <c:v>5.7789380000000001</c:v>
                </c:pt>
                <c:pt idx="220">
                  <c:v>5.8435000000000006</c:v>
                </c:pt>
                <c:pt idx="221">
                  <c:v>5.612152</c:v>
                </c:pt>
                <c:pt idx="222">
                  <c:v>5.7949280000000005</c:v>
                </c:pt>
                <c:pt idx="223">
                  <c:v>5.9181199999999992</c:v>
                </c:pt>
                <c:pt idx="224">
                  <c:v>5.6278800000000002</c:v>
                </c:pt>
                <c:pt idx="225">
                  <c:v>5.6278800000000002</c:v>
                </c:pt>
                <c:pt idx="226">
                  <c:v>5.689635</c:v>
                </c:pt>
                <c:pt idx="227">
                  <c:v>5.8285109999999998</c:v>
                </c:pt>
                <c:pt idx="228">
                  <c:v>5.4827519999999996</c:v>
                </c:pt>
                <c:pt idx="229">
                  <c:v>5.6065520000000006</c:v>
                </c:pt>
                <c:pt idx="230">
                  <c:v>5.734259999999999</c:v>
                </c:pt>
                <c:pt idx="231">
                  <c:v>5.6436250000000001</c:v>
                </c:pt>
                <c:pt idx="232">
                  <c:v>5.6645119999999993</c:v>
                </c:pt>
                <c:pt idx="233">
                  <c:v>5.7708320000000004</c:v>
                </c:pt>
                <c:pt idx="234">
                  <c:v>6.0155519999999996</c:v>
                </c:pt>
                <c:pt idx="235">
                  <c:v>6.0335039999999998</c:v>
                </c:pt>
                <c:pt idx="236">
                  <c:v>6.146980000000001</c:v>
                </c:pt>
                <c:pt idx="237">
                  <c:v>5.8902279999999996</c:v>
                </c:pt>
                <c:pt idx="238">
                  <c:v>5.6707199999999993</c:v>
                </c:pt>
                <c:pt idx="239">
                  <c:v>5.867432</c:v>
                </c:pt>
                <c:pt idx="240">
                  <c:v>5.8694459999999999</c:v>
                </c:pt>
                <c:pt idx="241">
                  <c:v>6.2160599999999997</c:v>
                </c:pt>
                <c:pt idx="242">
                  <c:v>5.9428580000000002</c:v>
                </c:pt>
                <c:pt idx="243">
                  <c:v>6.0540060000000002</c:v>
                </c:pt>
                <c:pt idx="244">
                  <c:v>6.0397080000000001</c:v>
                </c:pt>
                <c:pt idx="245">
                  <c:v>0</c:v>
                </c:pt>
                <c:pt idx="246">
                  <c:v>6.4519199999999994</c:v>
                </c:pt>
                <c:pt idx="247">
                  <c:v>6.5269200000000014</c:v>
                </c:pt>
                <c:pt idx="248">
                  <c:v>6.5583120000000008</c:v>
                </c:pt>
                <c:pt idx="249">
                  <c:v>6.4058020000000004</c:v>
                </c:pt>
                <c:pt idx="250">
                  <c:v>6.5205199999999994</c:v>
                </c:pt>
                <c:pt idx="251">
                  <c:v>6.602066999999999</c:v>
                </c:pt>
                <c:pt idx="252">
                  <c:v>6.1804250000000005</c:v>
                </c:pt>
                <c:pt idx="253">
                  <c:v>6.5319329999999995</c:v>
                </c:pt>
                <c:pt idx="254">
                  <c:v>6.7550819999999998</c:v>
                </c:pt>
                <c:pt idx="255">
                  <c:v>6.8931540000000009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6.3946500000000004</c:v>
                </c:pt>
                <c:pt idx="261">
                  <c:v>6.3894450000000003</c:v>
                </c:pt>
                <c:pt idx="262">
                  <c:v>6.6745519999999994</c:v>
                </c:pt>
                <c:pt idx="263">
                  <c:v>6.5418780000000005</c:v>
                </c:pt>
                <c:pt idx="264">
                  <c:v>6.5833494999999997</c:v>
                </c:pt>
                <c:pt idx="265">
                  <c:v>6.6918079999999991</c:v>
                </c:pt>
                <c:pt idx="266">
                  <c:v>6.8463539999999998</c:v>
                </c:pt>
                <c:pt idx="267">
                  <c:v>6.7087840000000005</c:v>
                </c:pt>
                <c:pt idx="268">
                  <c:v>6.5530919999999995</c:v>
                </c:pt>
                <c:pt idx="269">
                  <c:v>6.562304000000001</c:v>
                </c:pt>
                <c:pt idx="270">
                  <c:v>6.0968600000000004</c:v>
                </c:pt>
                <c:pt idx="271">
                  <c:v>6.5907119999999999</c:v>
                </c:pt>
                <c:pt idx="272">
                  <c:v>5.74275</c:v>
                </c:pt>
                <c:pt idx="273">
                  <c:v>5.9529240000000003</c:v>
                </c:pt>
                <c:pt idx="274">
                  <c:v>5.5530559999999998</c:v>
                </c:pt>
                <c:pt idx="275">
                  <c:v>6.3969839999999998</c:v>
                </c:pt>
                <c:pt idx="276">
                  <c:v>6.0806620000000002</c:v>
                </c:pt>
                <c:pt idx="277">
                  <c:v>6.1521480000000004</c:v>
                </c:pt>
                <c:pt idx="278">
                  <c:v>6.3786919999999991</c:v>
                </c:pt>
                <c:pt idx="279">
                  <c:v>6.3409159999999991</c:v>
                </c:pt>
                <c:pt idx="280">
                  <c:v>6.2746499999999994</c:v>
                </c:pt>
                <c:pt idx="281">
                  <c:v>6.2321999999999997</c:v>
                </c:pt>
                <c:pt idx="282">
                  <c:v>5.9131800000000005</c:v>
                </c:pt>
                <c:pt idx="283">
                  <c:v>5.4596159999999996</c:v>
                </c:pt>
                <c:pt idx="284">
                  <c:v>5.4723509999999997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Hoja1!$A$424:$A$708</c:f>
              <c:strCache>
                <c:ptCount val="285"/>
                <c:pt idx="0">
                  <c:v>AL 20/01/17</c:v>
                </c:pt>
                <c:pt idx="1">
                  <c:v>AL 27/01/17</c:v>
                </c:pt>
                <c:pt idx="2">
                  <c:v>AL 03/02/17</c:v>
                </c:pt>
                <c:pt idx="3">
                  <c:v>AL 10/02/17</c:v>
                </c:pt>
                <c:pt idx="4">
                  <c:v>AL 17/02/17</c:v>
                </c:pt>
                <c:pt idx="5">
                  <c:v>AL 24/02/17</c:v>
                </c:pt>
                <c:pt idx="6">
                  <c:v>AL 03/03/17</c:v>
                </c:pt>
                <c:pt idx="7">
                  <c:v>AL 10/03/17</c:v>
                </c:pt>
                <c:pt idx="8">
                  <c:v>AL 17/03/17</c:v>
                </c:pt>
                <c:pt idx="9">
                  <c:v>AL 23/03/17</c:v>
                </c:pt>
                <c:pt idx="10">
                  <c:v>AL 31/03/17</c:v>
                </c:pt>
                <c:pt idx="11">
                  <c:v>AL 07/04/17</c:v>
                </c:pt>
                <c:pt idx="12">
                  <c:v>AL 12/04/17</c:v>
                </c:pt>
                <c:pt idx="13">
                  <c:v>AL 20/04/17</c:v>
                </c:pt>
                <c:pt idx="14">
                  <c:v>AL 28/04/17</c:v>
                </c:pt>
                <c:pt idx="15">
                  <c:v>AL 05/05/17</c:v>
                </c:pt>
                <c:pt idx="16">
                  <c:v>AL 12/05/17</c:v>
                </c:pt>
                <c:pt idx="17">
                  <c:v>AL 19/05/17</c:v>
                </c:pt>
                <c:pt idx="18">
                  <c:v>AL 26/05/17</c:v>
                </c:pt>
                <c:pt idx="19">
                  <c:v>AL 02/06/17</c:v>
                </c:pt>
                <c:pt idx="20">
                  <c:v>AL 09/06/17</c:v>
                </c:pt>
                <c:pt idx="21">
                  <c:v>AL 16/06/17</c:v>
                </c:pt>
                <c:pt idx="22">
                  <c:v>AL 23/06/17</c:v>
                </c:pt>
                <c:pt idx="23">
                  <c:v>AL 30/06/17</c:v>
                </c:pt>
                <c:pt idx="24">
                  <c:v>AL 07/07/17</c:v>
                </c:pt>
                <c:pt idx="25">
                  <c:v>AL 14/07/17</c:v>
                </c:pt>
                <c:pt idx="26">
                  <c:v>AL 21/07/17</c:v>
                </c:pt>
                <c:pt idx="27">
                  <c:v>AL 28/07/17</c:v>
                </c:pt>
                <c:pt idx="28">
                  <c:v>AL 04/08/17</c:v>
                </c:pt>
                <c:pt idx="29">
                  <c:v>AL 11/08/17</c:v>
                </c:pt>
                <c:pt idx="30">
                  <c:v>AL 18/08/17</c:v>
                </c:pt>
                <c:pt idx="31">
                  <c:v>AL 25/08/17</c:v>
                </c:pt>
                <c:pt idx="32">
                  <c:v>AL 01/09/17</c:v>
                </c:pt>
                <c:pt idx="33">
                  <c:v>AL 08/09/17</c:v>
                </c:pt>
                <c:pt idx="34">
                  <c:v>AL15/09/17</c:v>
                </c:pt>
                <c:pt idx="35">
                  <c:v>AL 22/09/17</c:v>
                </c:pt>
                <c:pt idx="36">
                  <c:v>AL 29/09/17</c:v>
                </c:pt>
                <c:pt idx="37">
                  <c:v>AL 06/10/17</c:v>
                </c:pt>
                <c:pt idx="38">
                  <c:v>AL 13/10/17</c:v>
                </c:pt>
                <c:pt idx="39">
                  <c:v>AL 20/10/17</c:v>
                </c:pt>
                <c:pt idx="40">
                  <c:v>AL 27/10/17</c:v>
                </c:pt>
                <c:pt idx="41">
                  <c:v>AL 03/11/17</c:v>
                </c:pt>
                <c:pt idx="42">
                  <c:v>AL 10/11/17</c:v>
                </c:pt>
                <c:pt idx="43">
                  <c:v>AL 17/11/17</c:v>
                </c:pt>
                <c:pt idx="44">
                  <c:v>AL 24/11/17</c:v>
                </c:pt>
                <c:pt idx="45">
                  <c:v>AL 01/12/17</c:v>
                </c:pt>
                <c:pt idx="46">
                  <c:v>AL 07/12/17</c:v>
                </c:pt>
                <c:pt idx="47">
                  <c:v>AL 15/12/17</c:v>
                </c:pt>
                <c:pt idx="48">
                  <c:v>AL 22/12/17</c:v>
                </c:pt>
                <c:pt idx="49">
                  <c:v>AL 29/12/17</c:v>
                </c:pt>
                <c:pt idx="50">
                  <c:v>AL 05/01/18</c:v>
                </c:pt>
                <c:pt idx="51">
                  <c:v>AL12/01/18</c:v>
                </c:pt>
                <c:pt idx="52">
                  <c:v>AL19/01/18</c:v>
                </c:pt>
                <c:pt idx="53">
                  <c:v>AL 26/01/18</c:v>
                </c:pt>
                <c:pt idx="54">
                  <c:v>AL 02/02/18</c:v>
                </c:pt>
                <c:pt idx="55">
                  <c:v>AL 09/02/18</c:v>
                </c:pt>
                <c:pt idx="56">
                  <c:v>AL 16/02/18</c:v>
                </c:pt>
                <c:pt idx="57">
                  <c:v>AL 23/02/18</c:v>
                </c:pt>
                <c:pt idx="58">
                  <c:v>AL 02/03/18</c:v>
                </c:pt>
                <c:pt idx="59">
                  <c:v>AL 09/03/18</c:v>
                </c:pt>
                <c:pt idx="60">
                  <c:v>AL 16/03/18</c:v>
                </c:pt>
                <c:pt idx="61">
                  <c:v>AL 23/03/18</c:v>
                </c:pt>
                <c:pt idx="62">
                  <c:v>AL 28/03/18</c:v>
                </c:pt>
                <c:pt idx="63">
                  <c:v>AL 06/04/18</c:v>
                </c:pt>
                <c:pt idx="64">
                  <c:v>AL 13/04/18</c:v>
                </c:pt>
                <c:pt idx="65">
                  <c:v>AL 20/04/18</c:v>
                </c:pt>
                <c:pt idx="66">
                  <c:v>AL 27/04/18</c:v>
                </c:pt>
                <c:pt idx="67">
                  <c:v>AL 04/05/18</c:v>
                </c:pt>
                <c:pt idx="68">
                  <c:v>AL 11/05/18</c:v>
                </c:pt>
                <c:pt idx="69">
                  <c:v>AL 18/05/18</c:v>
                </c:pt>
                <c:pt idx="70">
                  <c:v>AL 24/05/18</c:v>
                </c:pt>
                <c:pt idx="71">
                  <c:v>AL 01/06/18</c:v>
                </c:pt>
                <c:pt idx="72">
                  <c:v>AL 08/06/18</c:v>
                </c:pt>
                <c:pt idx="73">
                  <c:v>AL 15/06/18</c:v>
                </c:pt>
                <c:pt idx="74">
                  <c:v>AL 22/06/18</c:v>
                </c:pt>
                <c:pt idx="75">
                  <c:v>AL 29/06/18</c:v>
                </c:pt>
                <c:pt idx="76">
                  <c:v>AL 06/07/18</c:v>
                </c:pt>
                <c:pt idx="77">
                  <c:v>AL13 /07/18</c:v>
                </c:pt>
                <c:pt idx="78">
                  <c:v>AL 20/07/18</c:v>
                </c:pt>
                <c:pt idx="79">
                  <c:v>AL 27/07/18</c:v>
                </c:pt>
                <c:pt idx="80">
                  <c:v>AL 03/08/18</c:v>
                </c:pt>
                <c:pt idx="81">
                  <c:v>AL 10/08/18</c:v>
                </c:pt>
                <c:pt idx="82">
                  <c:v>AL 17/08/18</c:v>
                </c:pt>
                <c:pt idx="83">
                  <c:v>AL 24/08/18</c:v>
                </c:pt>
                <c:pt idx="84">
                  <c:v>AL 31/08/18</c:v>
                </c:pt>
                <c:pt idx="85">
                  <c:v>AL 07/09/18</c:v>
                </c:pt>
                <c:pt idx="86">
                  <c:v>AL 14/09/18</c:v>
                </c:pt>
                <c:pt idx="87">
                  <c:v>AL 21/09/18</c:v>
                </c:pt>
                <c:pt idx="88">
                  <c:v>AL 28/09/18</c:v>
                </c:pt>
                <c:pt idx="89">
                  <c:v>AL 05/10/18</c:v>
                </c:pt>
                <c:pt idx="90">
                  <c:v>AL 12/10/18</c:v>
                </c:pt>
                <c:pt idx="91">
                  <c:v>AL 19/10/18</c:v>
                </c:pt>
                <c:pt idx="92">
                  <c:v>AL 26/10/18</c:v>
                </c:pt>
                <c:pt idx="93">
                  <c:v>AL 02/11/18</c:v>
                </c:pt>
                <c:pt idx="94">
                  <c:v>AL 09/11/18</c:v>
                </c:pt>
                <c:pt idx="95">
                  <c:v>AL16/11/18</c:v>
                </c:pt>
                <c:pt idx="96">
                  <c:v>AL 23/11/18</c:v>
                </c:pt>
                <c:pt idx="97">
                  <c:v>AL 29/11/18</c:v>
                </c:pt>
                <c:pt idx="98">
                  <c:v>AL 07/12/18</c:v>
                </c:pt>
                <c:pt idx="99">
                  <c:v>AL 14/12/18</c:v>
                </c:pt>
                <c:pt idx="100">
                  <c:v>AL 21/12/18</c:v>
                </c:pt>
                <c:pt idx="101">
                  <c:v>AL 28/12/18</c:v>
                </c:pt>
                <c:pt idx="102">
                  <c:v>AL 04/01/19</c:v>
                </c:pt>
                <c:pt idx="103">
                  <c:v>AL 11/01/19</c:v>
                </c:pt>
                <c:pt idx="104">
                  <c:v>AL 18/01/19</c:v>
                </c:pt>
                <c:pt idx="105">
                  <c:v>AL 25/01/19</c:v>
                </c:pt>
                <c:pt idx="106">
                  <c:v>AL 01/02/19</c:v>
                </c:pt>
                <c:pt idx="107">
                  <c:v>AL 08/02/19</c:v>
                </c:pt>
                <c:pt idx="108">
                  <c:v>AL 14/02/19</c:v>
                </c:pt>
                <c:pt idx="109">
                  <c:v>AL 22/02/19</c:v>
                </c:pt>
                <c:pt idx="110">
                  <c:v>AL 01/03/19</c:v>
                </c:pt>
                <c:pt idx="111">
                  <c:v>AL 08/03/19</c:v>
                </c:pt>
                <c:pt idx="112">
                  <c:v>AL 15/03/19</c:v>
                </c:pt>
                <c:pt idx="113">
                  <c:v>AL 22/03/19</c:v>
                </c:pt>
                <c:pt idx="114">
                  <c:v>AL 29/03/19</c:v>
                </c:pt>
                <c:pt idx="115">
                  <c:v>AL 05/04/19</c:v>
                </c:pt>
                <c:pt idx="116">
                  <c:v>AL 12/04/19</c:v>
                </c:pt>
                <c:pt idx="117">
                  <c:v>AL 26/04/19</c:v>
                </c:pt>
                <c:pt idx="118">
                  <c:v>AL 03/05/19</c:v>
                </c:pt>
                <c:pt idx="119">
                  <c:v>AL 10/05/19</c:v>
                </c:pt>
                <c:pt idx="120">
                  <c:v>AL 17/05/19</c:v>
                </c:pt>
                <c:pt idx="121">
                  <c:v>AL 24/05/19</c:v>
                </c:pt>
                <c:pt idx="122">
                  <c:v>AL 31/05/19</c:v>
                </c:pt>
                <c:pt idx="123">
                  <c:v>AL 07/06/19</c:v>
                </c:pt>
                <c:pt idx="124">
                  <c:v>AL 14/06/19</c:v>
                </c:pt>
                <c:pt idx="125">
                  <c:v>AL 21/06/19</c:v>
                </c:pt>
                <c:pt idx="126">
                  <c:v>AL 28/06/19</c:v>
                </c:pt>
                <c:pt idx="127">
                  <c:v>AL 05/07/19</c:v>
                </c:pt>
                <c:pt idx="128">
                  <c:v>AL 12/07/19</c:v>
                </c:pt>
                <c:pt idx="129">
                  <c:v>AL 19/07/19</c:v>
                </c:pt>
                <c:pt idx="130">
                  <c:v>AL 26/07/19</c:v>
                </c:pt>
                <c:pt idx="131">
                  <c:v>AL 02/08/19</c:v>
                </c:pt>
                <c:pt idx="132">
                  <c:v>AL 09/08/19</c:v>
                </c:pt>
                <c:pt idx="133">
                  <c:v>AL 16/08/19</c:v>
                </c:pt>
                <c:pt idx="134">
                  <c:v>AL 23/08/19</c:v>
                </c:pt>
                <c:pt idx="135">
                  <c:v>AL 30/08/19</c:v>
                </c:pt>
                <c:pt idx="136">
                  <c:v>AL 06/09/19</c:v>
                </c:pt>
                <c:pt idx="137">
                  <c:v>AL 13/09/19</c:v>
                </c:pt>
                <c:pt idx="138">
                  <c:v>AL 20/09/19</c:v>
                </c:pt>
                <c:pt idx="139">
                  <c:v>AL 24/09/19</c:v>
                </c:pt>
                <c:pt idx="140">
                  <c:v>AL  04/10/19</c:v>
                </c:pt>
                <c:pt idx="141">
                  <c:v>AL  11/10/19</c:v>
                </c:pt>
                <c:pt idx="142">
                  <c:v>AL  18/10/19</c:v>
                </c:pt>
                <c:pt idx="143">
                  <c:v>AL  25/10/19</c:v>
                </c:pt>
                <c:pt idx="144">
                  <c:v>AL 01/11/19</c:v>
                </c:pt>
                <c:pt idx="145">
                  <c:v>AL 08/11/19</c:v>
                </c:pt>
                <c:pt idx="146">
                  <c:v>AL 15/11/19</c:v>
                </c:pt>
                <c:pt idx="147">
                  <c:v>AL 22/11/19</c:v>
                </c:pt>
                <c:pt idx="148">
                  <c:v>AL 29/11/19</c:v>
                </c:pt>
                <c:pt idx="149">
                  <c:v>AL 06/12/19</c:v>
                </c:pt>
                <c:pt idx="150">
                  <c:v>AL 13/12/19</c:v>
                </c:pt>
                <c:pt idx="151">
                  <c:v>AL 20/12/19</c:v>
                </c:pt>
                <c:pt idx="152">
                  <c:v>AL 27/12/19</c:v>
                </c:pt>
                <c:pt idx="153">
                  <c:v>AL 03/01/20</c:v>
                </c:pt>
                <c:pt idx="154">
                  <c:v>AL 10/01/20</c:v>
                </c:pt>
                <c:pt idx="155">
                  <c:v>AL 17/01/20</c:v>
                </c:pt>
                <c:pt idx="156">
                  <c:v>AL 24/01/20</c:v>
                </c:pt>
                <c:pt idx="157">
                  <c:v>AL 31/01/20</c:v>
                </c:pt>
                <c:pt idx="158">
                  <c:v>AL 07/02/20</c:v>
                </c:pt>
                <c:pt idx="159">
                  <c:v>AL 14/02/20</c:v>
                </c:pt>
                <c:pt idx="160">
                  <c:v>AL 21/02/20</c:v>
                </c:pt>
                <c:pt idx="161">
                  <c:v>AL 28/02/20</c:v>
                </c:pt>
                <c:pt idx="162">
                  <c:v>AL 06/03/20</c:v>
                </c:pt>
                <c:pt idx="163">
                  <c:v>AL 13/03/20</c:v>
                </c:pt>
                <c:pt idx="164">
                  <c:v>AL 20/03/20</c:v>
                </c:pt>
                <c:pt idx="165">
                  <c:v>AL 27/03/20</c:v>
                </c:pt>
                <c:pt idx="166">
                  <c:v>AL 03/04/20</c:v>
                </c:pt>
                <c:pt idx="167">
                  <c:v>AL 09/04/20</c:v>
                </c:pt>
                <c:pt idx="168">
                  <c:v>AL 17/04/20</c:v>
                </c:pt>
                <c:pt idx="169">
                  <c:v>AL 24/04/20</c:v>
                </c:pt>
                <c:pt idx="170">
                  <c:v>AL 30/04/20</c:v>
                </c:pt>
                <c:pt idx="171">
                  <c:v>AL 08/05/20</c:v>
                </c:pt>
                <c:pt idx="172">
                  <c:v>AL 15/05/20</c:v>
                </c:pt>
                <c:pt idx="173">
                  <c:v>AL 22/05/20</c:v>
                </c:pt>
                <c:pt idx="174">
                  <c:v>AL 29/05/20</c:v>
                </c:pt>
                <c:pt idx="175">
                  <c:v>AL 05/06/20</c:v>
                </c:pt>
                <c:pt idx="176">
                  <c:v>AL 12/06/20</c:v>
                </c:pt>
                <c:pt idx="177">
                  <c:v>AL 19/06/20</c:v>
                </c:pt>
                <c:pt idx="178">
                  <c:v>AL 26/06/20</c:v>
                </c:pt>
                <c:pt idx="179">
                  <c:v>AL03/07/20</c:v>
                </c:pt>
                <c:pt idx="180">
                  <c:v>AL 10/07/20</c:v>
                </c:pt>
                <c:pt idx="181">
                  <c:v>AL 17/07/20</c:v>
                </c:pt>
                <c:pt idx="182">
                  <c:v>AL 24/07/20</c:v>
                </c:pt>
                <c:pt idx="183">
                  <c:v>AL 31/07/20</c:v>
                </c:pt>
                <c:pt idx="184">
                  <c:v>AL 07/08/20</c:v>
                </c:pt>
                <c:pt idx="185">
                  <c:v>AL 14/08/20</c:v>
                </c:pt>
                <c:pt idx="186">
                  <c:v>AL 21/08/20</c:v>
                </c:pt>
                <c:pt idx="187">
                  <c:v>AL 28/08/20</c:v>
                </c:pt>
                <c:pt idx="188">
                  <c:v>AL 04/09/20</c:v>
                </c:pt>
                <c:pt idx="189">
                  <c:v>AL11/09/20</c:v>
                </c:pt>
                <c:pt idx="190">
                  <c:v>AL 18/09/20</c:v>
                </c:pt>
                <c:pt idx="191">
                  <c:v>AL 25/09/20</c:v>
                </c:pt>
                <c:pt idx="192">
                  <c:v>AL 02/10/20</c:v>
                </c:pt>
                <c:pt idx="193">
                  <c:v>AL 09/10/20</c:v>
                </c:pt>
                <c:pt idx="194">
                  <c:v>AL 16/10/20</c:v>
                </c:pt>
                <c:pt idx="195">
                  <c:v>AL 23/10/20</c:v>
                </c:pt>
                <c:pt idx="196">
                  <c:v>AL 30/10/20</c:v>
                </c:pt>
                <c:pt idx="197">
                  <c:v>AL 06/11/20</c:v>
                </c:pt>
                <c:pt idx="198">
                  <c:v>AL 13/11/20</c:v>
                </c:pt>
                <c:pt idx="199">
                  <c:v>AL 20/11/20</c:v>
                </c:pt>
                <c:pt idx="200">
                  <c:v>AL 27/11/20</c:v>
                </c:pt>
                <c:pt idx="201">
                  <c:v>AL 04/12/20</c:v>
                </c:pt>
                <c:pt idx="202">
                  <c:v>AL 11/12/20</c:v>
                </c:pt>
                <c:pt idx="203">
                  <c:v>AL 18/12/20</c:v>
                </c:pt>
                <c:pt idx="204">
                  <c:v>AL 24/12/20</c:v>
                </c:pt>
                <c:pt idx="205">
                  <c:v>AL 30/12/20</c:v>
                </c:pt>
                <c:pt idx="206">
                  <c:v>AL 08/01/21</c:v>
                </c:pt>
                <c:pt idx="207">
                  <c:v>AL 15/01/21</c:v>
                </c:pt>
                <c:pt idx="208">
                  <c:v>AL 22/01/21</c:v>
                </c:pt>
                <c:pt idx="209">
                  <c:v>AL 29/01/21</c:v>
                </c:pt>
                <c:pt idx="210">
                  <c:v>AL 05/02/21</c:v>
                </c:pt>
                <c:pt idx="211">
                  <c:v>AL 12/02/21</c:v>
                </c:pt>
                <c:pt idx="212">
                  <c:v>AL 19/02/21</c:v>
                </c:pt>
                <c:pt idx="213">
                  <c:v>AL 26/02/21</c:v>
                </c:pt>
                <c:pt idx="214">
                  <c:v>AL 05/03/21</c:v>
                </c:pt>
                <c:pt idx="215">
                  <c:v>AL 12/03/21</c:v>
                </c:pt>
                <c:pt idx="216">
                  <c:v>AL 19/03/21</c:v>
                </c:pt>
                <c:pt idx="217">
                  <c:v>AL 26/03/21</c:v>
                </c:pt>
                <c:pt idx="218">
                  <c:v>AL 31/03/21</c:v>
                </c:pt>
                <c:pt idx="219">
                  <c:v>AL 09/04/21</c:v>
                </c:pt>
                <c:pt idx="220">
                  <c:v>AL 16/04/21</c:v>
                </c:pt>
                <c:pt idx="221">
                  <c:v>AL 23/04/21</c:v>
                </c:pt>
                <c:pt idx="222">
                  <c:v>AL 30/04/21</c:v>
                </c:pt>
                <c:pt idx="223">
                  <c:v>AL 07/05/21</c:v>
                </c:pt>
                <c:pt idx="224">
                  <c:v>AL 14/05/21</c:v>
                </c:pt>
                <c:pt idx="225">
                  <c:v>AL 21/05/21</c:v>
                </c:pt>
                <c:pt idx="226">
                  <c:v>AL 28/05/21</c:v>
                </c:pt>
                <c:pt idx="227">
                  <c:v>AL 04/06/21</c:v>
                </c:pt>
                <c:pt idx="228">
                  <c:v>AL 11/06/21</c:v>
                </c:pt>
                <c:pt idx="229">
                  <c:v>AL 18/06/21</c:v>
                </c:pt>
                <c:pt idx="230">
                  <c:v>AL 25/06/21</c:v>
                </c:pt>
                <c:pt idx="231">
                  <c:v>AL 02/07/21</c:v>
                </c:pt>
                <c:pt idx="232">
                  <c:v>AL 08/07/21</c:v>
                </c:pt>
                <c:pt idx="233">
                  <c:v>AL 16/07/21</c:v>
                </c:pt>
                <c:pt idx="234">
                  <c:v>AL 23/07/21</c:v>
                </c:pt>
                <c:pt idx="235">
                  <c:v>AL 30/07/21</c:v>
                </c:pt>
                <c:pt idx="236">
                  <c:v>AL 06/08/21</c:v>
                </c:pt>
                <c:pt idx="237">
                  <c:v>AL 13/08/21</c:v>
                </c:pt>
                <c:pt idx="238">
                  <c:v>AL 20/08/21</c:v>
                </c:pt>
                <c:pt idx="239">
                  <c:v>AL 27/08/21</c:v>
                </c:pt>
                <c:pt idx="240">
                  <c:v>AL 03/09/21</c:v>
                </c:pt>
                <c:pt idx="241">
                  <c:v>AL 10/09/21</c:v>
                </c:pt>
                <c:pt idx="242">
                  <c:v>AL 17/09/21</c:v>
                </c:pt>
                <c:pt idx="243">
                  <c:v>AL 24/09/21</c:v>
                </c:pt>
                <c:pt idx="244">
                  <c:v>AL 01/10/21</c:v>
                </c:pt>
                <c:pt idx="245">
                  <c:v>AL 07/10/21</c:v>
                </c:pt>
                <c:pt idx="246">
                  <c:v>AL 15/10/21</c:v>
                </c:pt>
                <c:pt idx="247">
                  <c:v>AL 22/10/21</c:v>
                </c:pt>
                <c:pt idx="248">
                  <c:v>AL 29/10/21</c:v>
                </c:pt>
                <c:pt idx="249">
                  <c:v>AL 05/11/21</c:v>
                </c:pt>
                <c:pt idx="250">
                  <c:v>AL 12/11/21</c:v>
                </c:pt>
                <c:pt idx="251">
                  <c:v>AL 19/11/21</c:v>
                </c:pt>
                <c:pt idx="252">
                  <c:v>AL 26/11/21</c:v>
                </c:pt>
                <c:pt idx="253">
                  <c:v>AL 03/12/21</c:v>
                </c:pt>
                <c:pt idx="254">
                  <c:v>AL 10/12/21</c:v>
                </c:pt>
                <c:pt idx="255">
                  <c:v>AL 17/12/21</c:v>
                </c:pt>
                <c:pt idx="256">
                  <c:v>AL 23/12/21</c:v>
                </c:pt>
                <c:pt idx="257">
                  <c:v>AL 30/12/21</c:v>
                </c:pt>
                <c:pt idx="258">
                  <c:v>AL 07/01/22</c:v>
                </c:pt>
                <c:pt idx="259">
                  <c:v>AL 14/01/22</c:v>
                </c:pt>
                <c:pt idx="260">
                  <c:v>AL 21/01/22</c:v>
                </c:pt>
                <c:pt idx="261">
                  <c:v>AL 28//01/22</c:v>
                </c:pt>
                <c:pt idx="262">
                  <c:v>AL 04/02/22</c:v>
                </c:pt>
                <c:pt idx="263">
                  <c:v>AL 11/02/22</c:v>
                </c:pt>
                <c:pt idx="264">
                  <c:v>AL 18/02/22</c:v>
                </c:pt>
                <c:pt idx="265">
                  <c:v>AL 25/02/22</c:v>
                </c:pt>
                <c:pt idx="266">
                  <c:v>AL 04/03/22</c:v>
                </c:pt>
                <c:pt idx="267">
                  <c:v>AL 11/03/22</c:v>
                </c:pt>
                <c:pt idx="268">
                  <c:v>AL 18/03/22</c:v>
                </c:pt>
                <c:pt idx="269">
                  <c:v>AL 25/03/22</c:v>
                </c:pt>
                <c:pt idx="270">
                  <c:v>AL 01/04/22</c:v>
                </c:pt>
                <c:pt idx="271">
                  <c:v>AL 08/04/22</c:v>
                </c:pt>
                <c:pt idx="272">
                  <c:v>AL 13/04/22</c:v>
                </c:pt>
                <c:pt idx="273">
                  <c:v>AL 22/04/22</c:v>
                </c:pt>
                <c:pt idx="274">
                  <c:v>AL 29/04/22</c:v>
                </c:pt>
                <c:pt idx="275">
                  <c:v>AL 06/05/22</c:v>
                </c:pt>
                <c:pt idx="276">
                  <c:v>AL 13/05/22</c:v>
                </c:pt>
                <c:pt idx="277">
                  <c:v>AL 20/05/22</c:v>
                </c:pt>
                <c:pt idx="278">
                  <c:v>AL 27/05/22</c:v>
                </c:pt>
                <c:pt idx="279">
                  <c:v>AL 03/06/22</c:v>
                </c:pt>
                <c:pt idx="280">
                  <c:v>AL 10/06/22</c:v>
                </c:pt>
                <c:pt idx="281">
                  <c:v>AL 16/06/22</c:v>
                </c:pt>
                <c:pt idx="282">
                  <c:v>AL 24/06/22</c:v>
                </c:pt>
                <c:pt idx="283">
                  <c:v>AL 01/07/22</c:v>
                </c:pt>
                <c:pt idx="284">
                  <c:v>AL 08/07/22</c:v>
                </c:pt>
              </c:strCache>
            </c:strRef>
          </c:cat>
          <c:val>
            <c:numRef>
              <c:f>Hoja1!$P$424:$P$708</c:f>
              <c:numCache>
                <c:formatCode>0.00</c:formatCode>
                <c:ptCount val="285"/>
                <c:pt idx="0">
                  <c:v>4.2508679999999996</c:v>
                </c:pt>
                <c:pt idx="1">
                  <c:v>4.2791490000000003</c:v>
                </c:pt>
                <c:pt idx="2">
                  <c:v>4.2721900000000002</c:v>
                </c:pt>
                <c:pt idx="3">
                  <c:v>4.2482390000000008</c:v>
                </c:pt>
                <c:pt idx="4">
                  <c:v>4.1574600000000004</c:v>
                </c:pt>
                <c:pt idx="5">
                  <c:v>4.1336320000000004</c:v>
                </c:pt>
                <c:pt idx="6">
                  <c:v>4.035876</c:v>
                </c:pt>
                <c:pt idx="7">
                  <c:v>4.064533</c:v>
                </c:pt>
                <c:pt idx="8">
                  <c:v>4.0621910000000003</c:v>
                </c:pt>
                <c:pt idx="9">
                  <c:v>4.2538090000000004</c:v>
                </c:pt>
                <c:pt idx="10">
                  <c:v>4.1282009999999998</c:v>
                </c:pt>
                <c:pt idx="11">
                  <c:v>4.2582959999999996</c:v>
                </c:pt>
                <c:pt idx="12">
                  <c:v>4.1083600000000002</c:v>
                </c:pt>
                <c:pt idx="13">
                  <c:v>4.2371379999999998</c:v>
                </c:pt>
                <c:pt idx="14">
                  <c:v>4.207694</c:v>
                </c:pt>
                <c:pt idx="15">
                  <c:v>4.1125499999999997</c:v>
                </c:pt>
                <c:pt idx="16">
                  <c:v>3.9224359999999998</c:v>
                </c:pt>
                <c:pt idx="17">
                  <c:v>4.0364800000000001</c:v>
                </c:pt>
                <c:pt idx="18">
                  <c:v>4.0121866400000004</c:v>
                </c:pt>
                <c:pt idx="19">
                  <c:v>3.9182489999999999</c:v>
                </c:pt>
                <c:pt idx="20">
                  <c:v>4.0834679999999999</c:v>
                </c:pt>
                <c:pt idx="21">
                  <c:v>4.0910400000000005</c:v>
                </c:pt>
                <c:pt idx="22">
                  <c:v>4.1146560000000001</c:v>
                </c:pt>
                <c:pt idx="23">
                  <c:v>4.1143359999999998</c:v>
                </c:pt>
                <c:pt idx="24">
                  <c:v>4.1332800000000001</c:v>
                </c:pt>
                <c:pt idx="25">
                  <c:v>4.083024</c:v>
                </c:pt>
                <c:pt idx="26">
                  <c:v>4.1943929999999998</c:v>
                </c:pt>
                <c:pt idx="27">
                  <c:v>4.1327970000000001</c:v>
                </c:pt>
                <c:pt idx="28">
                  <c:v>4.0206759999999999</c:v>
                </c:pt>
                <c:pt idx="29">
                  <c:v>4.107043</c:v>
                </c:pt>
                <c:pt idx="30">
                  <c:v>3.9163600000000001</c:v>
                </c:pt>
                <c:pt idx="31">
                  <c:v>3.911985</c:v>
                </c:pt>
                <c:pt idx="32">
                  <c:v>4.0281150000000006</c:v>
                </c:pt>
                <c:pt idx="33">
                  <c:v>4.0300559999999992</c:v>
                </c:pt>
                <c:pt idx="34">
                  <c:v>3.9256919999999997</c:v>
                </c:pt>
                <c:pt idx="35">
                  <c:v>3.870816</c:v>
                </c:pt>
                <c:pt idx="36">
                  <c:v>3.6829199999999997</c:v>
                </c:pt>
                <c:pt idx="37">
                  <c:v>3.8747349999999998</c:v>
                </c:pt>
                <c:pt idx="38">
                  <c:v>3.8885279999999995</c:v>
                </c:pt>
                <c:pt idx="39">
                  <c:v>3.9472259999999997</c:v>
                </c:pt>
                <c:pt idx="40">
                  <c:v>3.924992</c:v>
                </c:pt>
                <c:pt idx="41">
                  <c:v>4.0051230000000002</c:v>
                </c:pt>
                <c:pt idx="42">
                  <c:v>4.0243200000000003</c:v>
                </c:pt>
                <c:pt idx="43">
                  <c:v>3.8860800000000002</c:v>
                </c:pt>
                <c:pt idx="44">
                  <c:v>3.904512</c:v>
                </c:pt>
                <c:pt idx="45">
                  <c:v>3.7905660000000001</c:v>
                </c:pt>
                <c:pt idx="46">
                  <c:v>3.7089520000000005</c:v>
                </c:pt>
                <c:pt idx="47">
                  <c:v>3.7711799999999998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3.8855795</c:v>
                </c:pt>
                <c:pt idx="52">
                  <c:v>3.8935650000000002</c:v>
                </c:pt>
                <c:pt idx="53">
                  <c:v>3.7683832500000003</c:v>
                </c:pt>
                <c:pt idx="54">
                  <c:v>3.7882530000000001</c:v>
                </c:pt>
                <c:pt idx="55">
                  <c:v>3.7245760000000003</c:v>
                </c:pt>
                <c:pt idx="56">
                  <c:v>3.8445949999999995</c:v>
                </c:pt>
                <c:pt idx="57">
                  <c:v>3.7336169999999997</c:v>
                </c:pt>
                <c:pt idx="58">
                  <c:v>3.7553559999999999</c:v>
                </c:pt>
                <c:pt idx="59">
                  <c:v>3.9221279999999998</c:v>
                </c:pt>
                <c:pt idx="60">
                  <c:v>4.0180300000000004</c:v>
                </c:pt>
                <c:pt idx="61">
                  <c:v>3.9013650000000002</c:v>
                </c:pt>
                <c:pt idx="62">
                  <c:v>3.7271340000000004</c:v>
                </c:pt>
                <c:pt idx="63">
                  <c:v>3.811264</c:v>
                </c:pt>
                <c:pt idx="64">
                  <c:v>3.8847539999999996</c:v>
                </c:pt>
                <c:pt idx="65">
                  <c:v>3.6818599999999995</c:v>
                </c:pt>
                <c:pt idx="66">
                  <c:v>3.5947519999999997</c:v>
                </c:pt>
                <c:pt idx="67">
                  <c:v>3.6595800000000001</c:v>
                </c:pt>
                <c:pt idx="68">
                  <c:v>3.72933</c:v>
                </c:pt>
                <c:pt idx="69">
                  <c:v>3.6808800000000002</c:v>
                </c:pt>
                <c:pt idx="70">
                  <c:v>3.6530780000000003</c:v>
                </c:pt>
                <c:pt idx="71">
                  <c:v>3.6548610000000004</c:v>
                </c:pt>
                <c:pt idx="72">
                  <c:v>3.6237750000000002</c:v>
                </c:pt>
                <c:pt idx="73">
                  <c:v>3.561636</c:v>
                </c:pt>
                <c:pt idx="74">
                  <c:v>3.5331040000000002</c:v>
                </c:pt>
                <c:pt idx="75">
                  <c:v>3.5583679999999998</c:v>
                </c:pt>
                <c:pt idx="76">
                  <c:v>3.8692159999999998</c:v>
                </c:pt>
                <c:pt idx="77">
                  <c:v>3.8659319999999999</c:v>
                </c:pt>
                <c:pt idx="78">
                  <c:v>3.8697749999999997</c:v>
                </c:pt>
                <c:pt idx="79">
                  <c:v>3.9180365999999993</c:v>
                </c:pt>
                <c:pt idx="80">
                  <c:v>3.6870000000000003</c:v>
                </c:pt>
                <c:pt idx="81">
                  <c:v>3.5326250000000003</c:v>
                </c:pt>
                <c:pt idx="82">
                  <c:v>3.6798060000000001</c:v>
                </c:pt>
                <c:pt idx="83">
                  <c:v>3.5819939999999999</c:v>
                </c:pt>
                <c:pt idx="84">
                  <c:v>3.5666240000000005</c:v>
                </c:pt>
                <c:pt idx="85">
                  <c:v>3.6776670000000005</c:v>
                </c:pt>
                <c:pt idx="86">
                  <c:v>3.6682135000000002</c:v>
                </c:pt>
                <c:pt idx="87">
                  <c:v>3.8256749999999999</c:v>
                </c:pt>
                <c:pt idx="88">
                  <c:v>3.7590150000000002</c:v>
                </c:pt>
                <c:pt idx="89">
                  <c:v>3.61687059</c:v>
                </c:pt>
                <c:pt idx="90">
                  <c:v>3.6437759999999999</c:v>
                </c:pt>
                <c:pt idx="91">
                  <c:v>3.7356375000000002</c:v>
                </c:pt>
                <c:pt idx="92">
                  <c:v>3.7670919999999999</c:v>
                </c:pt>
                <c:pt idx="93">
                  <c:v>4.0264769999999999</c:v>
                </c:pt>
                <c:pt idx="94">
                  <c:v>4.0123819999999997</c:v>
                </c:pt>
                <c:pt idx="95">
                  <c:v>3.9048039999999999</c:v>
                </c:pt>
                <c:pt idx="96">
                  <c:v>3.9414400000000001</c:v>
                </c:pt>
                <c:pt idx="97">
                  <c:v>3.9145949999999998</c:v>
                </c:pt>
                <c:pt idx="98">
                  <c:v>3.9141350000000004</c:v>
                </c:pt>
                <c:pt idx="99">
                  <c:v>3.735325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3.7019744999999999</c:v>
                </c:pt>
                <c:pt idx="104">
                  <c:v>3.6108859999999998</c:v>
                </c:pt>
                <c:pt idx="105">
                  <c:v>3.2803550000000001</c:v>
                </c:pt>
                <c:pt idx="106">
                  <c:v>3.4987939999999997</c:v>
                </c:pt>
                <c:pt idx="107">
                  <c:v>3.4506000000000001</c:v>
                </c:pt>
                <c:pt idx="108">
                  <c:v>3.4569920000000001</c:v>
                </c:pt>
                <c:pt idx="109">
                  <c:v>3.4711600000000002</c:v>
                </c:pt>
                <c:pt idx="110">
                  <c:v>3.5545</c:v>
                </c:pt>
                <c:pt idx="111">
                  <c:v>3.3683280000000004</c:v>
                </c:pt>
                <c:pt idx="112">
                  <c:v>3.1995390000000001</c:v>
                </c:pt>
                <c:pt idx="113">
                  <c:v>3.5072019999999999</c:v>
                </c:pt>
                <c:pt idx="114">
                  <c:v>3.564114</c:v>
                </c:pt>
                <c:pt idx="115">
                  <c:v>3.7221910000000005</c:v>
                </c:pt>
                <c:pt idx="116">
                  <c:v>3.7258520000000006</c:v>
                </c:pt>
                <c:pt idx="117">
                  <c:v>3.6758600000000001</c:v>
                </c:pt>
                <c:pt idx="118">
                  <c:v>3.7859180000000001</c:v>
                </c:pt>
                <c:pt idx="119">
                  <c:v>3.689136</c:v>
                </c:pt>
                <c:pt idx="120">
                  <c:v>3.6426720000000001</c:v>
                </c:pt>
                <c:pt idx="121">
                  <c:v>3.543002</c:v>
                </c:pt>
                <c:pt idx="122">
                  <c:v>3.6218880000000002</c:v>
                </c:pt>
                <c:pt idx="123">
                  <c:v>3.7471399999999999</c:v>
                </c:pt>
                <c:pt idx="124">
                  <c:v>3.685162</c:v>
                </c:pt>
                <c:pt idx="125">
                  <c:v>3.6372</c:v>
                </c:pt>
                <c:pt idx="126">
                  <c:v>3.8763380000000001</c:v>
                </c:pt>
                <c:pt idx="127">
                  <c:v>3.7832409999999994</c:v>
                </c:pt>
                <c:pt idx="128">
                  <c:v>3.8903760000000003</c:v>
                </c:pt>
                <c:pt idx="129">
                  <c:v>3.9623939999999997</c:v>
                </c:pt>
                <c:pt idx="130">
                  <c:v>3.9175439999999999</c:v>
                </c:pt>
                <c:pt idx="131">
                  <c:v>3.91</c:v>
                </c:pt>
                <c:pt idx="132">
                  <c:v>3.8277820000000005</c:v>
                </c:pt>
                <c:pt idx="133">
                  <c:v>3.7883429999999998</c:v>
                </c:pt>
                <c:pt idx="134">
                  <c:v>3.8858499999999996</c:v>
                </c:pt>
                <c:pt idx="135">
                  <c:v>3.8658900000000003</c:v>
                </c:pt>
                <c:pt idx="136">
                  <c:v>3.9265919999999999</c:v>
                </c:pt>
                <c:pt idx="137">
                  <c:v>3.9451050000000003</c:v>
                </c:pt>
                <c:pt idx="138">
                  <c:v>3.8385900000000004</c:v>
                </c:pt>
                <c:pt idx="139">
                  <c:v>3.813768</c:v>
                </c:pt>
                <c:pt idx="140">
                  <c:v>3.8256150000000004</c:v>
                </c:pt>
                <c:pt idx="141">
                  <c:v>3.7895199999999996</c:v>
                </c:pt>
                <c:pt idx="142">
                  <c:v>3.81976</c:v>
                </c:pt>
                <c:pt idx="143">
                  <c:v>3.8175199999999996</c:v>
                </c:pt>
                <c:pt idx="144">
                  <c:v>3.8399580000000002</c:v>
                </c:pt>
                <c:pt idx="145">
                  <c:v>3.9910900000000002</c:v>
                </c:pt>
                <c:pt idx="146">
                  <c:v>3.9052800000000003</c:v>
                </c:pt>
                <c:pt idx="147">
                  <c:v>3.9562379999999999</c:v>
                </c:pt>
                <c:pt idx="148">
                  <c:v>3.6920519999999999</c:v>
                </c:pt>
                <c:pt idx="149">
                  <c:v>3.5447700000000006</c:v>
                </c:pt>
                <c:pt idx="150">
                  <c:v>3.5483500000000001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3.5504100000000003</c:v>
                </c:pt>
                <c:pt idx="156">
                  <c:v>3.5602535</c:v>
                </c:pt>
                <c:pt idx="157">
                  <c:v>3.7894550000000002</c:v>
                </c:pt>
                <c:pt idx="158">
                  <c:v>3.8299390000000004</c:v>
                </c:pt>
                <c:pt idx="159">
                  <c:v>4.0881920000000003</c:v>
                </c:pt>
                <c:pt idx="160">
                  <c:v>4.1081199999999995</c:v>
                </c:pt>
                <c:pt idx="161">
                  <c:v>4.1256599999999999</c:v>
                </c:pt>
                <c:pt idx="162">
                  <c:v>4.0694549999999996</c:v>
                </c:pt>
                <c:pt idx="163">
                  <c:v>4.0216339999999997</c:v>
                </c:pt>
                <c:pt idx="164">
                  <c:v>3.7804000000000002</c:v>
                </c:pt>
                <c:pt idx="165">
                  <c:v>3.6408160000000001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4.4710910000000004</c:v>
                </c:pt>
                <c:pt idx="177">
                  <c:v>4.4704379999999997</c:v>
                </c:pt>
                <c:pt idx="178">
                  <c:v>4.8084210000000001</c:v>
                </c:pt>
                <c:pt idx="179">
                  <c:v>4.6789080000000007</c:v>
                </c:pt>
                <c:pt idx="180">
                  <c:v>4.6403189999999999</c:v>
                </c:pt>
                <c:pt idx="181">
                  <c:v>4.5089429999999995</c:v>
                </c:pt>
                <c:pt idx="182">
                  <c:v>4.6311559999999998</c:v>
                </c:pt>
                <c:pt idx="183">
                  <c:v>4.6212409999999995</c:v>
                </c:pt>
                <c:pt idx="184">
                  <c:v>4.8368700000000002</c:v>
                </c:pt>
                <c:pt idx="185">
                  <c:v>4.6922939999999995</c:v>
                </c:pt>
                <c:pt idx="186">
                  <c:v>4.8772570000000002</c:v>
                </c:pt>
                <c:pt idx="187">
                  <c:v>4.7961119999999999</c:v>
                </c:pt>
                <c:pt idx="188">
                  <c:v>4.9660929999999999</c:v>
                </c:pt>
                <c:pt idx="189">
                  <c:v>4.7454239999999999</c:v>
                </c:pt>
                <c:pt idx="190">
                  <c:v>4.7435410000000005</c:v>
                </c:pt>
                <c:pt idx="191">
                  <c:v>4.7643060000000004</c:v>
                </c:pt>
                <c:pt idx="192">
                  <c:v>4.9175459999999998</c:v>
                </c:pt>
                <c:pt idx="193">
                  <c:v>4.8943780000000006</c:v>
                </c:pt>
                <c:pt idx="194">
                  <c:v>4.8724160000000003</c:v>
                </c:pt>
                <c:pt idx="195">
                  <c:v>4.873888</c:v>
                </c:pt>
                <c:pt idx="196">
                  <c:v>4.7191429999999999</c:v>
                </c:pt>
                <c:pt idx="197">
                  <c:v>5.0537080000000003</c:v>
                </c:pt>
                <c:pt idx="198">
                  <c:v>5.0549160000000004</c:v>
                </c:pt>
                <c:pt idx="199">
                  <c:v>5.0460639999999994</c:v>
                </c:pt>
                <c:pt idx="200">
                  <c:v>5.0429699999999995</c:v>
                </c:pt>
                <c:pt idx="201">
                  <c:v>4.8107620000000004</c:v>
                </c:pt>
                <c:pt idx="202">
                  <c:v>4.7910400000000006</c:v>
                </c:pt>
                <c:pt idx="203">
                  <c:v>4.8081249999999995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5.3752079999999998</c:v>
                </c:pt>
                <c:pt idx="208">
                  <c:v>5.4101140000000001</c:v>
                </c:pt>
                <c:pt idx="209">
                  <c:v>5.3187749999999996</c:v>
                </c:pt>
                <c:pt idx="210">
                  <c:v>5.2840850000000001</c:v>
                </c:pt>
                <c:pt idx="211">
                  <c:v>5.3564699999999998</c:v>
                </c:pt>
                <c:pt idx="212">
                  <c:v>5.325418</c:v>
                </c:pt>
                <c:pt idx="213">
                  <c:v>5.3722479999999999</c:v>
                </c:pt>
                <c:pt idx="214">
                  <c:v>5.237571</c:v>
                </c:pt>
                <c:pt idx="215">
                  <c:v>5.2676820000000006</c:v>
                </c:pt>
                <c:pt idx="216">
                  <c:v>5.2056180000000003</c:v>
                </c:pt>
                <c:pt idx="217">
                  <c:v>5.0317920000000003</c:v>
                </c:pt>
                <c:pt idx="218">
                  <c:v>0</c:v>
                </c:pt>
                <c:pt idx="219">
                  <c:v>5.3437999999999999</c:v>
                </c:pt>
                <c:pt idx="220">
                  <c:v>5.3552499999999998</c:v>
                </c:pt>
                <c:pt idx="221">
                  <c:v>5.1958660000000005</c:v>
                </c:pt>
                <c:pt idx="222">
                  <c:v>5.2356320000000007</c:v>
                </c:pt>
                <c:pt idx="223">
                  <c:v>5.4976219999999989</c:v>
                </c:pt>
                <c:pt idx="224">
                  <c:v>5.4348800000000006</c:v>
                </c:pt>
                <c:pt idx="225">
                  <c:v>5.4348800000000006</c:v>
                </c:pt>
                <c:pt idx="226">
                  <c:v>5.4109590000000001</c:v>
                </c:pt>
                <c:pt idx="227">
                  <c:v>5.4715049999999996</c:v>
                </c:pt>
                <c:pt idx="228">
                  <c:v>5.5911679999999997</c:v>
                </c:pt>
                <c:pt idx="229">
                  <c:v>5.4100960000000002</c:v>
                </c:pt>
                <c:pt idx="230">
                  <c:v>5.5522200000000002</c:v>
                </c:pt>
                <c:pt idx="231">
                  <c:v>5.5389750000000006</c:v>
                </c:pt>
                <c:pt idx="232">
                  <c:v>5.3155839999999994</c:v>
                </c:pt>
                <c:pt idx="233">
                  <c:v>5.9708480000000002</c:v>
                </c:pt>
                <c:pt idx="234">
                  <c:v>5.7649039999999996</c:v>
                </c:pt>
                <c:pt idx="235">
                  <c:v>5.8414970000000004</c:v>
                </c:pt>
                <c:pt idx="236">
                  <c:v>5.7174320000000005</c:v>
                </c:pt>
                <c:pt idx="237">
                  <c:v>5.7059280000000001</c:v>
                </c:pt>
                <c:pt idx="238">
                  <c:v>5.6563999999999997</c:v>
                </c:pt>
                <c:pt idx="239">
                  <c:v>5.9040120000000007</c:v>
                </c:pt>
                <c:pt idx="240">
                  <c:v>5.6755380000000004</c:v>
                </c:pt>
                <c:pt idx="241">
                  <c:v>5.7667950000000001</c:v>
                </c:pt>
                <c:pt idx="242">
                  <c:v>5.7973780000000001</c:v>
                </c:pt>
                <c:pt idx="243">
                  <c:v>5.8144589999999994</c:v>
                </c:pt>
                <c:pt idx="244">
                  <c:v>5.8071320000000002</c:v>
                </c:pt>
                <c:pt idx="245">
                  <c:v>0</c:v>
                </c:pt>
                <c:pt idx="246">
                  <c:v>6.3110160000000004</c:v>
                </c:pt>
                <c:pt idx="247">
                  <c:v>6.1152450000000007</c:v>
                </c:pt>
                <c:pt idx="248">
                  <c:v>6.2800349999999998</c:v>
                </c:pt>
                <c:pt idx="249">
                  <c:v>6.0211580000000007</c:v>
                </c:pt>
                <c:pt idx="250">
                  <c:v>6.0819200000000002</c:v>
                </c:pt>
                <c:pt idx="251">
                  <c:v>6.0863940000000003</c:v>
                </c:pt>
                <c:pt idx="252">
                  <c:v>6.0303800000000001</c:v>
                </c:pt>
                <c:pt idx="253">
                  <c:v>5.9578509999999998</c:v>
                </c:pt>
                <c:pt idx="254">
                  <c:v>6.202915</c:v>
                </c:pt>
                <c:pt idx="255">
                  <c:v>6.0198780000000003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5.9563649999999999</c:v>
                </c:pt>
                <c:pt idx="261">
                  <c:v>5.7819240000000001</c:v>
                </c:pt>
                <c:pt idx="262">
                  <c:v>5.8967969999999994</c:v>
                </c:pt>
                <c:pt idx="263">
                  <c:v>5.7428700000000008</c:v>
                </c:pt>
                <c:pt idx="264">
                  <c:v>5.9982999999999995</c:v>
                </c:pt>
                <c:pt idx="265">
                  <c:v>6.2591479999999997</c:v>
                </c:pt>
                <c:pt idx="266">
                  <c:v>6.0685259999999994</c:v>
                </c:pt>
                <c:pt idx="267">
                  <c:v>6.1228639999999999</c:v>
                </c:pt>
                <c:pt idx="268">
                  <c:v>6.0712469999999996</c:v>
                </c:pt>
                <c:pt idx="269">
                  <c:v>6.0935680000000003</c:v>
                </c:pt>
                <c:pt idx="270">
                  <c:v>5.8496899999999998</c:v>
                </c:pt>
                <c:pt idx="271">
                  <c:v>5.9040239999999997</c:v>
                </c:pt>
                <c:pt idx="272">
                  <c:v>6.0391500000000002</c:v>
                </c:pt>
                <c:pt idx="273">
                  <c:v>5.8515359999999994</c:v>
                </c:pt>
                <c:pt idx="274">
                  <c:v>6.0468199999999994</c:v>
                </c:pt>
                <c:pt idx="275">
                  <c:v>5.9785560000000002</c:v>
                </c:pt>
                <c:pt idx="276">
                  <c:v>5.8321899999999998</c:v>
                </c:pt>
                <c:pt idx="277">
                  <c:v>5.6464919999999994</c:v>
                </c:pt>
                <c:pt idx="278">
                  <c:v>5.9424809999999999</c:v>
                </c:pt>
                <c:pt idx="279">
                  <c:v>5.9292620000000005</c:v>
                </c:pt>
                <c:pt idx="280">
                  <c:v>5.8917900000000003</c:v>
                </c:pt>
                <c:pt idx="281">
                  <c:v>5.9783999999999997</c:v>
                </c:pt>
                <c:pt idx="282">
                  <c:v>5.8232720000000002</c:v>
                </c:pt>
                <c:pt idx="283">
                  <c:v>5.4391680000000004</c:v>
                </c:pt>
                <c:pt idx="284">
                  <c:v>5.7189149999999991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24192"/>
        <c:axId val="150867968"/>
      </c:lineChart>
      <c:catAx>
        <c:axId val="14682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508679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50867968"/>
        <c:scaling>
          <c:orientation val="minMax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6824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8032079323417"/>
          <c:y val="0.40778343883485152"/>
          <c:w val="9.284117818606008E-2"/>
          <c:h val="7.4449933954334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Evolución semanal del precio del novillo (US$/ kg vivo)</a:t>
            </a:r>
          </a:p>
        </c:rich>
      </c:tx>
      <c:layout>
        <c:manualLayout>
          <c:xMode val="edge"/>
          <c:yMode val="edge"/>
          <c:x val="0.21642624671916008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11209766925645E-2"/>
          <c:y val="0.12887438825448613"/>
          <c:w val="0.84683684794672587"/>
          <c:h val="0.74714518760195758"/>
        </c:manualLayout>
      </c:layout>
      <c:lineChart>
        <c:grouping val="standard"/>
        <c:varyColors val="0"/>
        <c:ser>
          <c:idx val="0"/>
          <c:order val="0"/>
          <c:tx>
            <c:strRef>
              <c:f>Hoja1!$E$3</c:f>
              <c:strCache>
                <c:ptCount val="1"/>
                <c:pt idx="0">
                  <c:v>NOV. GORDO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0543257564502574E-2"/>
                  <c:y val="2.683245344739738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1.7422111914146169E-2"/>
                  <c:y val="-3.6340359575770809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0"/>
              <c:layout>
                <c:manualLayout>
                  <c:x val="-2.6846344539895917E-2"/>
                  <c:y val="-3.686238241427002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Hoja1!$A$366:$A$708</c:f>
              <c:strCache>
                <c:ptCount val="343"/>
                <c:pt idx="0">
                  <c:v>AL 04/12/15</c:v>
                </c:pt>
                <c:pt idx="1">
                  <c:v>AL 11/12/15</c:v>
                </c:pt>
                <c:pt idx="2">
                  <c:v>AL 18/12/15</c:v>
                </c:pt>
                <c:pt idx="3">
                  <c:v>AL 23/12/15</c:v>
                </c:pt>
                <c:pt idx="4">
                  <c:v>AL 30/12/15</c:v>
                </c:pt>
                <c:pt idx="5">
                  <c:v>AL 08/01/2016</c:v>
                </c:pt>
                <c:pt idx="6">
                  <c:v>AL 15/01/16</c:v>
                </c:pt>
                <c:pt idx="7">
                  <c:v>AL 22/01/16</c:v>
                </c:pt>
                <c:pt idx="8">
                  <c:v>AL 29/01/16</c:v>
                </c:pt>
                <c:pt idx="9">
                  <c:v>AL 05/02/16</c:v>
                </c:pt>
                <c:pt idx="10">
                  <c:v>AL 12/02/16</c:v>
                </c:pt>
                <c:pt idx="11">
                  <c:v>AL 19/02/16</c:v>
                </c:pt>
                <c:pt idx="12">
                  <c:v>AL 26/02/16</c:v>
                </c:pt>
                <c:pt idx="13">
                  <c:v>AL 04/03/16</c:v>
                </c:pt>
                <c:pt idx="14">
                  <c:v>AL 11/03/16</c:v>
                </c:pt>
                <c:pt idx="15">
                  <c:v>AL 18/03/16</c:v>
                </c:pt>
                <c:pt idx="16">
                  <c:v>AL 01/04/16</c:v>
                </c:pt>
                <c:pt idx="17">
                  <c:v>AL 08/04/16</c:v>
                </c:pt>
                <c:pt idx="18">
                  <c:v>AL 15/04/16</c:v>
                </c:pt>
                <c:pt idx="19">
                  <c:v>AL 22/04/16</c:v>
                </c:pt>
                <c:pt idx="20">
                  <c:v>AL 29/04/16</c:v>
                </c:pt>
                <c:pt idx="21">
                  <c:v>AL 06/05/16</c:v>
                </c:pt>
                <c:pt idx="22">
                  <c:v>AL 13/05/16</c:v>
                </c:pt>
                <c:pt idx="23">
                  <c:v>AL 20/05/16</c:v>
                </c:pt>
                <c:pt idx="24">
                  <c:v>AL 27/05/16</c:v>
                </c:pt>
                <c:pt idx="25">
                  <c:v>AL 03/06/16</c:v>
                </c:pt>
                <c:pt idx="26">
                  <c:v>AL 10/06/16</c:v>
                </c:pt>
                <c:pt idx="27">
                  <c:v>AL 16/06/16</c:v>
                </c:pt>
                <c:pt idx="28">
                  <c:v>AL 24/06/16</c:v>
                </c:pt>
                <c:pt idx="29">
                  <c:v>AL 01/07/16</c:v>
                </c:pt>
                <c:pt idx="30">
                  <c:v>AL 07/07/16</c:v>
                </c:pt>
                <c:pt idx="31">
                  <c:v>AL15/07/16</c:v>
                </c:pt>
                <c:pt idx="32">
                  <c:v>AL 22/07/16</c:v>
                </c:pt>
                <c:pt idx="33">
                  <c:v>AL 29/07/16</c:v>
                </c:pt>
                <c:pt idx="34">
                  <c:v>AL 05/08/16</c:v>
                </c:pt>
                <c:pt idx="35">
                  <c:v>AL 12/08/16</c:v>
                </c:pt>
                <c:pt idx="36">
                  <c:v>AL 19/08/16</c:v>
                </c:pt>
                <c:pt idx="37">
                  <c:v>AL 26/08/16</c:v>
                </c:pt>
                <c:pt idx="38">
                  <c:v>AL 02/09/16</c:v>
                </c:pt>
                <c:pt idx="39">
                  <c:v>AL 09/09/16</c:v>
                </c:pt>
                <c:pt idx="40">
                  <c:v>AL 16/09/16</c:v>
                </c:pt>
                <c:pt idx="41">
                  <c:v>AL 23/09/16</c:v>
                </c:pt>
                <c:pt idx="42">
                  <c:v>AL 30/09/16</c:v>
                </c:pt>
                <c:pt idx="43">
                  <c:v>AL 07/10/16</c:v>
                </c:pt>
                <c:pt idx="44">
                  <c:v>AL 14/10/16</c:v>
                </c:pt>
                <c:pt idx="45">
                  <c:v>AL 21/10/16</c:v>
                </c:pt>
                <c:pt idx="46">
                  <c:v>AL 28/10/16</c:v>
                </c:pt>
                <c:pt idx="47">
                  <c:v>AL 04/11/16</c:v>
                </c:pt>
                <c:pt idx="48">
                  <c:v>AL 11/11/16</c:v>
                </c:pt>
                <c:pt idx="49">
                  <c:v>AL 18/11/16</c:v>
                </c:pt>
                <c:pt idx="50">
                  <c:v>AL 25/11/16</c:v>
                </c:pt>
                <c:pt idx="51">
                  <c:v>AL 02/12/16</c:v>
                </c:pt>
                <c:pt idx="52">
                  <c:v>AL 06/12/16</c:v>
                </c:pt>
                <c:pt idx="53">
                  <c:v>AL 16/12/16</c:v>
                </c:pt>
                <c:pt idx="54">
                  <c:v>AL 23/12/16</c:v>
                </c:pt>
                <c:pt idx="55">
                  <c:v>AL 30/12/16</c:v>
                </c:pt>
                <c:pt idx="56">
                  <c:v>AL 06/01/17</c:v>
                </c:pt>
                <c:pt idx="57">
                  <c:v>AL 13/01/17</c:v>
                </c:pt>
                <c:pt idx="58">
                  <c:v>AL 20/01/17</c:v>
                </c:pt>
                <c:pt idx="59">
                  <c:v>AL 27/01/17</c:v>
                </c:pt>
                <c:pt idx="60">
                  <c:v>AL 03/02/17</c:v>
                </c:pt>
                <c:pt idx="61">
                  <c:v>AL 10/02/17</c:v>
                </c:pt>
                <c:pt idx="62">
                  <c:v>AL 17/02/17</c:v>
                </c:pt>
                <c:pt idx="63">
                  <c:v>AL 24/02/17</c:v>
                </c:pt>
                <c:pt idx="64">
                  <c:v>AL 03/03/17</c:v>
                </c:pt>
                <c:pt idx="65">
                  <c:v>AL 10/03/17</c:v>
                </c:pt>
                <c:pt idx="66">
                  <c:v>AL 17/03/17</c:v>
                </c:pt>
                <c:pt idx="67">
                  <c:v>AL 23/03/17</c:v>
                </c:pt>
                <c:pt idx="68">
                  <c:v>AL 31/03/17</c:v>
                </c:pt>
                <c:pt idx="69">
                  <c:v>AL 07/04/17</c:v>
                </c:pt>
                <c:pt idx="70">
                  <c:v>AL 12/04/17</c:v>
                </c:pt>
                <c:pt idx="71">
                  <c:v>AL 20/04/17</c:v>
                </c:pt>
                <c:pt idx="72">
                  <c:v>AL 28/04/17</c:v>
                </c:pt>
                <c:pt idx="73">
                  <c:v>AL 05/05/17</c:v>
                </c:pt>
                <c:pt idx="74">
                  <c:v>AL 12/05/17</c:v>
                </c:pt>
                <c:pt idx="75">
                  <c:v>AL 19/05/17</c:v>
                </c:pt>
                <c:pt idx="76">
                  <c:v>AL 26/05/17</c:v>
                </c:pt>
                <c:pt idx="77">
                  <c:v>AL 02/06/17</c:v>
                </c:pt>
                <c:pt idx="78">
                  <c:v>AL 09/06/17</c:v>
                </c:pt>
                <c:pt idx="79">
                  <c:v>AL 16/06/17</c:v>
                </c:pt>
                <c:pt idx="80">
                  <c:v>AL 23/06/17</c:v>
                </c:pt>
                <c:pt idx="81">
                  <c:v>AL 30/06/17</c:v>
                </c:pt>
                <c:pt idx="82">
                  <c:v>AL 07/07/17</c:v>
                </c:pt>
                <c:pt idx="83">
                  <c:v>AL 14/07/17</c:v>
                </c:pt>
                <c:pt idx="84">
                  <c:v>AL 21/07/17</c:v>
                </c:pt>
                <c:pt idx="85">
                  <c:v>AL 28/07/17</c:v>
                </c:pt>
                <c:pt idx="86">
                  <c:v>AL 04/08/17</c:v>
                </c:pt>
                <c:pt idx="87">
                  <c:v>AL 11/08/17</c:v>
                </c:pt>
                <c:pt idx="88">
                  <c:v>AL 18/08/17</c:v>
                </c:pt>
                <c:pt idx="89">
                  <c:v>AL 25/08/17</c:v>
                </c:pt>
                <c:pt idx="90">
                  <c:v>AL 01/09/17</c:v>
                </c:pt>
                <c:pt idx="91">
                  <c:v>AL 08/09/17</c:v>
                </c:pt>
                <c:pt idx="92">
                  <c:v>AL15/09/17</c:v>
                </c:pt>
                <c:pt idx="93">
                  <c:v>AL 22/09/17</c:v>
                </c:pt>
                <c:pt idx="94">
                  <c:v>AL 29/09/17</c:v>
                </c:pt>
                <c:pt idx="95">
                  <c:v>AL 06/10/17</c:v>
                </c:pt>
                <c:pt idx="96">
                  <c:v>AL 13/10/17</c:v>
                </c:pt>
                <c:pt idx="97">
                  <c:v>AL 20/10/17</c:v>
                </c:pt>
                <c:pt idx="98">
                  <c:v>AL 27/10/17</c:v>
                </c:pt>
                <c:pt idx="99">
                  <c:v>AL 03/11/17</c:v>
                </c:pt>
                <c:pt idx="100">
                  <c:v>AL 10/11/17</c:v>
                </c:pt>
                <c:pt idx="101">
                  <c:v>AL 17/11/17</c:v>
                </c:pt>
                <c:pt idx="102">
                  <c:v>AL 24/11/17</c:v>
                </c:pt>
                <c:pt idx="103">
                  <c:v>AL 01/12/17</c:v>
                </c:pt>
                <c:pt idx="104">
                  <c:v>AL 07/12/17</c:v>
                </c:pt>
                <c:pt idx="105">
                  <c:v>AL 15/12/17</c:v>
                </c:pt>
                <c:pt idx="106">
                  <c:v>AL 22/12/17</c:v>
                </c:pt>
                <c:pt idx="107">
                  <c:v>AL 29/12/17</c:v>
                </c:pt>
                <c:pt idx="108">
                  <c:v>AL 05/01/18</c:v>
                </c:pt>
                <c:pt idx="109">
                  <c:v>AL12/01/18</c:v>
                </c:pt>
                <c:pt idx="110">
                  <c:v>AL19/01/18</c:v>
                </c:pt>
                <c:pt idx="111">
                  <c:v>AL 26/01/18</c:v>
                </c:pt>
                <c:pt idx="112">
                  <c:v>AL 02/02/18</c:v>
                </c:pt>
                <c:pt idx="113">
                  <c:v>AL 09/02/18</c:v>
                </c:pt>
                <c:pt idx="114">
                  <c:v>AL 16/02/18</c:v>
                </c:pt>
                <c:pt idx="115">
                  <c:v>AL 23/02/18</c:v>
                </c:pt>
                <c:pt idx="116">
                  <c:v>AL 02/03/18</c:v>
                </c:pt>
                <c:pt idx="117">
                  <c:v>AL 09/03/18</c:v>
                </c:pt>
                <c:pt idx="118">
                  <c:v>AL 16/03/18</c:v>
                </c:pt>
                <c:pt idx="119">
                  <c:v>AL 23/03/18</c:v>
                </c:pt>
                <c:pt idx="120">
                  <c:v>AL 28/03/18</c:v>
                </c:pt>
                <c:pt idx="121">
                  <c:v>AL 06/04/18</c:v>
                </c:pt>
                <c:pt idx="122">
                  <c:v>AL 13/04/18</c:v>
                </c:pt>
                <c:pt idx="123">
                  <c:v>AL 20/04/18</c:v>
                </c:pt>
                <c:pt idx="124">
                  <c:v>AL 27/04/18</c:v>
                </c:pt>
                <c:pt idx="125">
                  <c:v>AL 04/05/18</c:v>
                </c:pt>
                <c:pt idx="126">
                  <c:v>AL 11/05/18</c:v>
                </c:pt>
                <c:pt idx="127">
                  <c:v>AL 18/05/18</c:v>
                </c:pt>
                <c:pt idx="128">
                  <c:v>AL 24/05/18</c:v>
                </c:pt>
                <c:pt idx="129">
                  <c:v>AL 01/06/18</c:v>
                </c:pt>
                <c:pt idx="130">
                  <c:v>AL 08/06/18</c:v>
                </c:pt>
                <c:pt idx="131">
                  <c:v>AL 15/06/18</c:v>
                </c:pt>
                <c:pt idx="132">
                  <c:v>AL 22/06/18</c:v>
                </c:pt>
                <c:pt idx="133">
                  <c:v>AL 29/06/18</c:v>
                </c:pt>
                <c:pt idx="134">
                  <c:v>AL 06/07/18</c:v>
                </c:pt>
                <c:pt idx="135">
                  <c:v>AL13 /07/18</c:v>
                </c:pt>
                <c:pt idx="136">
                  <c:v>AL 20/07/18</c:v>
                </c:pt>
                <c:pt idx="137">
                  <c:v>AL 27/07/18</c:v>
                </c:pt>
                <c:pt idx="138">
                  <c:v>AL 03/08/18</c:v>
                </c:pt>
                <c:pt idx="139">
                  <c:v>AL 10/08/18</c:v>
                </c:pt>
                <c:pt idx="140">
                  <c:v>AL 17/08/18</c:v>
                </c:pt>
                <c:pt idx="141">
                  <c:v>AL 24/08/18</c:v>
                </c:pt>
                <c:pt idx="142">
                  <c:v>AL 31/08/18</c:v>
                </c:pt>
                <c:pt idx="143">
                  <c:v>AL 07/09/18</c:v>
                </c:pt>
                <c:pt idx="144">
                  <c:v>AL 14/09/18</c:v>
                </c:pt>
                <c:pt idx="145">
                  <c:v>AL 21/09/18</c:v>
                </c:pt>
                <c:pt idx="146">
                  <c:v>AL 28/09/18</c:v>
                </c:pt>
                <c:pt idx="147">
                  <c:v>AL 05/10/18</c:v>
                </c:pt>
                <c:pt idx="148">
                  <c:v>AL 12/10/18</c:v>
                </c:pt>
                <c:pt idx="149">
                  <c:v>AL 19/10/18</c:v>
                </c:pt>
                <c:pt idx="150">
                  <c:v>AL 26/10/18</c:v>
                </c:pt>
                <c:pt idx="151">
                  <c:v>AL 02/11/18</c:v>
                </c:pt>
                <c:pt idx="152">
                  <c:v>AL 09/11/18</c:v>
                </c:pt>
                <c:pt idx="153">
                  <c:v>AL16/11/18</c:v>
                </c:pt>
                <c:pt idx="154">
                  <c:v>AL 23/11/18</c:v>
                </c:pt>
                <c:pt idx="155">
                  <c:v>AL 29/11/18</c:v>
                </c:pt>
                <c:pt idx="156">
                  <c:v>AL 07/12/18</c:v>
                </c:pt>
                <c:pt idx="157">
                  <c:v>AL 14/12/18</c:v>
                </c:pt>
                <c:pt idx="158">
                  <c:v>AL 21/12/18</c:v>
                </c:pt>
                <c:pt idx="159">
                  <c:v>AL 28/12/18</c:v>
                </c:pt>
                <c:pt idx="160">
                  <c:v>AL 04/01/19</c:v>
                </c:pt>
                <c:pt idx="161">
                  <c:v>AL 11/01/19</c:v>
                </c:pt>
                <c:pt idx="162">
                  <c:v>AL 18/01/19</c:v>
                </c:pt>
                <c:pt idx="163">
                  <c:v>AL 25/01/19</c:v>
                </c:pt>
                <c:pt idx="164">
                  <c:v>AL 01/02/19</c:v>
                </c:pt>
                <c:pt idx="165">
                  <c:v>AL 08/02/19</c:v>
                </c:pt>
                <c:pt idx="166">
                  <c:v>AL 14/02/19</c:v>
                </c:pt>
                <c:pt idx="167">
                  <c:v>AL 22/02/19</c:v>
                </c:pt>
                <c:pt idx="168">
                  <c:v>AL 01/03/19</c:v>
                </c:pt>
                <c:pt idx="169">
                  <c:v>AL 08/03/19</c:v>
                </c:pt>
                <c:pt idx="170">
                  <c:v>AL 15/03/19</c:v>
                </c:pt>
                <c:pt idx="171">
                  <c:v>AL 22/03/19</c:v>
                </c:pt>
                <c:pt idx="172">
                  <c:v>AL 29/03/19</c:v>
                </c:pt>
                <c:pt idx="173">
                  <c:v>AL 05/04/19</c:v>
                </c:pt>
                <c:pt idx="174">
                  <c:v>AL 12/04/19</c:v>
                </c:pt>
                <c:pt idx="175">
                  <c:v>AL 26/04/19</c:v>
                </c:pt>
                <c:pt idx="176">
                  <c:v>AL 03/05/19</c:v>
                </c:pt>
                <c:pt idx="177">
                  <c:v>AL 10/05/19</c:v>
                </c:pt>
                <c:pt idx="178">
                  <c:v>AL 17/05/19</c:v>
                </c:pt>
                <c:pt idx="179">
                  <c:v>AL 24/05/19</c:v>
                </c:pt>
                <c:pt idx="180">
                  <c:v>AL 31/05/19</c:v>
                </c:pt>
                <c:pt idx="181">
                  <c:v>AL 07/06/19</c:v>
                </c:pt>
                <c:pt idx="182">
                  <c:v>AL 14/06/19</c:v>
                </c:pt>
                <c:pt idx="183">
                  <c:v>AL 21/06/19</c:v>
                </c:pt>
                <c:pt idx="184">
                  <c:v>AL 28/06/19</c:v>
                </c:pt>
                <c:pt idx="185">
                  <c:v>AL 05/07/19</c:v>
                </c:pt>
                <c:pt idx="186">
                  <c:v>AL 12/07/19</c:v>
                </c:pt>
                <c:pt idx="187">
                  <c:v>AL 19/07/19</c:v>
                </c:pt>
                <c:pt idx="188">
                  <c:v>AL 26/07/19</c:v>
                </c:pt>
                <c:pt idx="189">
                  <c:v>AL 02/08/19</c:v>
                </c:pt>
                <c:pt idx="190">
                  <c:v>AL 09/08/19</c:v>
                </c:pt>
                <c:pt idx="191">
                  <c:v>AL 16/08/19</c:v>
                </c:pt>
                <c:pt idx="192">
                  <c:v>AL 23/08/19</c:v>
                </c:pt>
                <c:pt idx="193">
                  <c:v>AL 30/08/19</c:v>
                </c:pt>
                <c:pt idx="194">
                  <c:v>AL 06/09/19</c:v>
                </c:pt>
                <c:pt idx="195">
                  <c:v>AL 13/09/19</c:v>
                </c:pt>
                <c:pt idx="196">
                  <c:v>AL 20/09/19</c:v>
                </c:pt>
                <c:pt idx="197">
                  <c:v>AL 24/09/19</c:v>
                </c:pt>
                <c:pt idx="198">
                  <c:v>AL  04/10/19</c:v>
                </c:pt>
                <c:pt idx="199">
                  <c:v>AL  11/10/19</c:v>
                </c:pt>
                <c:pt idx="200">
                  <c:v>AL  18/10/19</c:v>
                </c:pt>
                <c:pt idx="201">
                  <c:v>AL  25/10/19</c:v>
                </c:pt>
                <c:pt idx="202">
                  <c:v>AL 01/11/19</c:v>
                </c:pt>
                <c:pt idx="203">
                  <c:v>AL 08/11/19</c:v>
                </c:pt>
                <c:pt idx="204">
                  <c:v>AL 15/11/19</c:v>
                </c:pt>
                <c:pt idx="205">
                  <c:v>AL 22/11/19</c:v>
                </c:pt>
                <c:pt idx="206">
                  <c:v>AL 29/11/19</c:v>
                </c:pt>
                <c:pt idx="207">
                  <c:v>AL 06/12/19</c:v>
                </c:pt>
                <c:pt idx="208">
                  <c:v>AL 13/12/19</c:v>
                </c:pt>
                <c:pt idx="209">
                  <c:v>AL 20/12/19</c:v>
                </c:pt>
                <c:pt idx="210">
                  <c:v>AL 27/12/19</c:v>
                </c:pt>
                <c:pt idx="211">
                  <c:v>AL 03/01/20</c:v>
                </c:pt>
                <c:pt idx="212">
                  <c:v>AL 10/01/20</c:v>
                </c:pt>
                <c:pt idx="213">
                  <c:v>AL 17/01/20</c:v>
                </c:pt>
                <c:pt idx="214">
                  <c:v>AL 24/01/20</c:v>
                </c:pt>
                <c:pt idx="215">
                  <c:v>AL 31/01/20</c:v>
                </c:pt>
                <c:pt idx="216">
                  <c:v>AL 07/02/20</c:v>
                </c:pt>
                <c:pt idx="217">
                  <c:v>AL 14/02/20</c:v>
                </c:pt>
                <c:pt idx="218">
                  <c:v>AL 21/02/20</c:v>
                </c:pt>
                <c:pt idx="219">
                  <c:v>AL 28/02/20</c:v>
                </c:pt>
                <c:pt idx="220">
                  <c:v>AL 06/03/20</c:v>
                </c:pt>
                <c:pt idx="221">
                  <c:v>AL 13/03/20</c:v>
                </c:pt>
                <c:pt idx="222">
                  <c:v>AL 20/03/20</c:v>
                </c:pt>
                <c:pt idx="223">
                  <c:v>AL 27/03/20</c:v>
                </c:pt>
                <c:pt idx="224">
                  <c:v>AL 03/04/20</c:v>
                </c:pt>
                <c:pt idx="225">
                  <c:v>AL 09/04/20</c:v>
                </c:pt>
                <c:pt idx="226">
                  <c:v>AL 17/04/20</c:v>
                </c:pt>
                <c:pt idx="227">
                  <c:v>AL 24/04/20</c:v>
                </c:pt>
                <c:pt idx="228">
                  <c:v>AL 30/04/20</c:v>
                </c:pt>
                <c:pt idx="229">
                  <c:v>AL 08/05/20</c:v>
                </c:pt>
                <c:pt idx="230">
                  <c:v>AL 15/05/20</c:v>
                </c:pt>
                <c:pt idx="231">
                  <c:v>AL 22/05/20</c:v>
                </c:pt>
                <c:pt idx="232">
                  <c:v>AL 29/05/20</c:v>
                </c:pt>
                <c:pt idx="233">
                  <c:v>AL 05/06/20</c:v>
                </c:pt>
                <c:pt idx="234">
                  <c:v>AL 12/06/20</c:v>
                </c:pt>
                <c:pt idx="235">
                  <c:v>AL 19/06/20</c:v>
                </c:pt>
                <c:pt idx="236">
                  <c:v>AL 26/06/20</c:v>
                </c:pt>
                <c:pt idx="237">
                  <c:v>AL03/07/20</c:v>
                </c:pt>
                <c:pt idx="238">
                  <c:v>AL 10/07/20</c:v>
                </c:pt>
                <c:pt idx="239">
                  <c:v>AL 17/07/20</c:v>
                </c:pt>
                <c:pt idx="240">
                  <c:v>AL 24/07/20</c:v>
                </c:pt>
                <c:pt idx="241">
                  <c:v>AL 31/07/20</c:v>
                </c:pt>
                <c:pt idx="242">
                  <c:v>AL 07/08/20</c:v>
                </c:pt>
                <c:pt idx="243">
                  <c:v>AL 14/08/20</c:v>
                </c:pt>
                <c:pt idx="244">
                  <c:v>AL 21/08/20</c:v>
                </c:pt>
                <c:pt idx="245">
                  <c:v>AL 28/08/20</c:v>
                </c:pt>
                <c:pt idx="246">
                  <c:v>AL 04/09/20</c:v>
                </c:pt>
                <c:pt idx="247">
                  <c:v>AL11/09/20</c:v>
                </c:pt>
                <c:pt idx="248">
                  <c:v>AL 18/09/20</c:v>
                </c:pt>
                <c:pt idx="249">
                  <c:v>AL 25/09/20</c:v>
                </c:pt>
                <c:pt idx="250">
                  <c:v>AL 02/10/20</c:v>
                </c:pt>
                <c:pt idx="251">
                  <c:v>AL 09/10/20</c:v>
                </c:pt>
                <c:pt idx="252">
                  <c:v>AL 16/10/20</c:v>
                </c:pt>
                <c:pt idx="253">
                  <c:v>AL 23/10/20</c:v>
                </c:pt>
                <c:pt idx="254">
                  <c:v>AL 30/10/20</c:v>
                </c:pt>
                <c:pt idx="255">
                  <c:v>AL 06/11/20</c:v>
                </c:pt>
                <c:pt idx="256">
                  <c:v>AL 13/11/20</c:v>
                </c:pt>
                <c:pt idx="257">
                  <c:v>AL 20/11/20</c:v>
                </c:pt>
                <c:pt idx="258">
                  <c:v>AL 27/11/20</c:v>
                </c:pt>
                <c:pt idx="259">
                  <c:v>AL 04/12/20</c:v>
                </c:pt>
                <c:pt idx="260">
                  <c:v>AL 11/12/20</c:v>
                </c:pt>
                <c:pt idx="261">
                  <c:v>AL 18/12/20</c:v>
                </c:pt>
                <c:pt idx="262">
                  <c:v>AL 24/12/20</c:v>
                </c:pt>
                <c:pt idx="263">
                  <c:v>AL 30/12/20</c:v>
                </c:pt>
                <c:pt idx="264">
                  <c:v>AL 08/01/21</c:v>
                </c:pt>
                <c:pt idx="265">
                  <c:v>AL 15/01/21</c:v>
                </c:pt>
                <c:pt idx="266">
                  <c:v>AL 22/01/21</c:v>
                </c:pt>
                <c:pt idx="267">
                  <c:v>AL 29/01/21</c:v>
                </c:pt>
                <c:pt idx="268">
                  <c:v>AL 05/02/21</c:v>
                </c:pt>
                <c:pt idx="269">
                  <c:v>AL 12/02/21</c:v>
                </c:pt>
                <c:pt idx="270">
                  <c:v>AL 19/02/21</c:v>
                </c:pt>
                <c:pt idx="271">
                  <c:v>AL 26/02/21</c:v>
                </c:pt>
                <c:pt idx="272">
                  <c:v>AL 05/03/21</c:v>
                </c:pt>
                <c:pt idx="273">
                  <c:v>AL 12/03/21</c:v>
                </c:pt>
                <c:pt idx="274">
                  <c:v>AL 19/03/21</c:v>
                </c:pt>
                <c:pt idx="275">
                  <c:v>AL 26/03/21</c:v>
                </c:pt>
                <c:pt idx="276">
                  <c:v>AL 31/03/21</c:v>
                </c:pt>
                <c:pt idx="277">
                  <c:v>AL 09/04/21</c:v>
                </c:pt>
                <c:pt idx="278">
                  <c:v>AL 16/04/21</c:v>
                </c:pt>
                <c:pt idx="279">
                  <c:v>AL 23/04/21</c:v>
                </c:pt>
                <c:pt idx="280">
                  <c:v>AL 30/04/21</c:v>
                </c:pt>
                <c:pt idx="281">
                  <c:v>AL 07/05/21</c:v>
                </c:pt>
                <c:pt idx="282">
                  <c:v>AL 14/05/21</c:v>
                </c:pt>
                <c:pt idx="283">
                  <c:v>AL 21/05/21</c:v>
                </c:pt>
                <c:pt idx="284">
                  <c:v>AL 28/05/21</c:v>
                </c:pt>
                <c:pt idx="285">
                  <c:v>AL 04/06/21</c:v>
                </c:pt>
                <c:pt idx="286">
                  <c:v>AL 11/06/21</c:v>
                </c:pt>
                <c:pt idx="287">
                  <c:v>AL 18/06/21</c:v>
                </c:pt>
                <c:pt idx="288">
                  <c:v>AL 25/06/21</c:v>
                </c:pt>
                <c:pt idx="289">
                  <c:v>AL 02/07/21</c:v>
                </c:pt>
                <c:pt idx="290">
                  <c:v>AL 08/07/21</c:v>
                </c:pt>
                <c:pt idx="291">
                  <c:v>AL 16/07/21</c:v>
                </c:pt>
                <c:pt idx="292">
                  <c:v>AL 23/07/21</c:v>
                </c:pt>
                <c:pt idx="293">
                  <c:v>AL 30/07/21</c:v>
                </c:pt>
                <c:pt idx="294">
                  <c:v>AL 06/08/21</c:v>
                </c:pt>
                <c:pt idx="295">
                  <c:v>AL 13/08/21</c:v>
                </c:pt>
                <c:pt idx="296">
                  <c:v>AL 20/08/21</c:v>
                </c:pt>
                <c:pt idx="297">
                  <c:v>AL 27/08/21</c:v>
                </c:pt>
                <c:pt idx="298">
                  <c:v>AL 03/09/21</c:v>
                </c:pt>
                <c:pt idx="299">
                  <c:v>AL 10/09/21</c:v>
                </c:pt>
                <c:pt idx="300">
                  <c:v>AL 17/09/21</c:v>
                </c:pt>
                <c:pt idx="301">
                  <c:v>AL 24/09/21</c:v>
                </c:pt>
                <c:pt idx="302">
                  <c:v>AL 01/10/21</c:v>
                </c:pt>
                <c:pt idx="303">
                  <c:v>AL 07/10/21</c:v>
                </c:pt>
                <c:pt idx="304">
                  <c:v>AL 15/10/21</c:v>
                </c:pt>
                <c:pt idx="305">
                  <c:v>AL 22/10/21</c:v>
                </c:pt>
                <c:pt idx="306">
                  <c:v>AL 29/10/21</c:v>
                </c:pt>
                <c:pt idx="307">
                  <c:v>AL 05/11/21</c:v>
                </c:pt>
                <c:pt idx="308">
                  <c:v>AL 12/11/21</c:v>
                </c:pt>
                <c:pt idx="309">
                  <c:v>AL 19/11/21</c:v>
                </c:pt>
                <c:pt idx="310">
                  <c:v>AL 26/11/21</c:v>
                </c:pt>
                <c:pt idx="311">
                  <c:v>AL 03/12/21</c:v>
                </c:pt>
                <c:pt idx="312">
                  <c:v>AL 10/12/21</c:v>
                </c:pt>
                <c:pt idx="313">
                  <c:v>AL 17/12/21</c:v>
                </c:pt>
                <c:pt idx="314">
                  <c:v>AL 23/12/21</c:v>
                </c:pt>
                <c:pt idx="315">
                  <c:v>AL 30/12/21</c:v>
                </c:pt>
                <c:pt idx="316">
                  <c:v>AL 07/01/22</c:v>
                </c:pt>
                <c:pt idx="317">
                  <c:v>AL 14/01/22</c:v>
                </c:pt>
                <c:pt idx="318">
                  <c:v>AL 21/01/22</c:v>
                </c:pt>
                <c:pt idx="319">
                  <c:v>AL 28//01/22</c:v>
                </c:pt>
                <c:pt idx="320">
                  <c:v>AL 04/02/22</c:v>
                </c:pt>
                <c:pt idx="321">
                  <c:v>AL 11/02/22</c:v>
                </c:pt>
                <c:pt idx="322">
                  <c:v>AL 18/02/22</c:v>
                </c:pt>
                <c:pt idx="323">
                  <c:v>AL 25/02/22</c:v>
                </c:pt>
                <c:pt idx="324">
                  <c:v>AL 04/03/22</c:v>
                </c:pt>
                <c:pt idx="325">
                  <c:v>AL 11/03/22</c:v>
                </c:pt>
                <c:pt idx="326">
                  <c:v>AL 18/03/22</c:v>
                </c:pt>
                <c:pt idx="327">
                  <c:v>AL 25/03/22</c:v>
                </c:pt>
                <c:pt idx="328">
                  <c:v>AL 01/04/22</c:v>
                </c:pt>
                <c:pt idx="329">
                  <c:v>AL 08/04/22</c:v>
                </c:pt>
                <c:pt idx="330">
                  <c:v>AL 13/04/22</c:v>
                </c:pt>
                <c:pt idx="331">
                  <c:v>AL 22/04/22</c:v>
                </c:pt>
                <c:pt idx="332">
                  <c:v>AL 29/04/22</c:v>
                </c:pt>
                <c:pt idx="333">
                  <c:v>AL 06/05/22</c:v>
                </c:pt>
                <c:pt idx="334">
                  <c:v>AL 13/05/22</c:v>
                </c:pt>
                <c:pt idx="335">
                  <c:v>AL 20/05/22</c:v>
                </c:pt>
                <c:pt idx="336">
                  <c:v>AL 27/05/22</c:v>
                </c:pt>
                <c:pt idx="337">
                  <c:v>AL 03/06/22</c:v>
                </c:pt>
                <c:pt idx="338">
                  <c:v>AL 10/06/22</c:v>
                </c:pt>
                <c:pt idx="339">
                  <c:v>AL 16/06/22</c:v>
                </c:pt>
                <c:pt idx="340">
                  <c:v>AL 24/06/22</c:v>
                </c:pt>
                <c:pt idx="341">
                  <c:v>AL 01/07/22</c:v>
                </c:pt>
                <c:pt idx="342">
                  <c:v>AL 08/07/22</c:v>
                </c:pt>
              </c:strCache>
            </c:strRef>
          </c:cat>
          <c:val>
            <c:numRef>
              <c:f>Hoja1!$B$366:$B$708</c:f>
              <c:numCache>
                <c:formatCode>0.00</c:formatCode>
                <c:ptCount val="343"/>
                <c:pt idx="0">
                  <c:v>3.1991909483545227</c:v>
                </c:pt>
                <c:pt idx="1">
                  <c:v>2.9261067313523355</c:v>
                </c:pt>
                <c:pt idx="2">
                  <c:v>1.7618609022556388</c:v>
                </c:pt>
                <c:pt idx="3">
                  <c:v>1.8015891472868217</c:v>
                </c:pt>
                <c:pt idx="4">
                  <c:v>1.9703488372093025</c:v>
                </c:pt>
                <c:pt idx="5">
                  <c:v>1.7131702898550725</c:v>
                </c:pt>
                <c:pt idx="6">
                  <c:v>1.6103888888888886</c:v>
                </c:pt>
                <c:pt idx="7">
                  <c:v>1.6714074074074075</c:v>
                </c:pt>
                <c:pt idx="8">
                  <c:v>1.7175812274368232</c:v>
                </c:pt>
                <c:pt idx="9">
                  <c:v>1.7336640680368534</c:v>
                </c:pt>
                <c:pt idx="10">
                  <c:v>1.6867586206896552</c:v>
                </c:pt>
                <c:pt idx="11">
                  <c:v>1.6406521739130433</c:v>
                </c:pt>
                <c:pt idx="12">
                  <c:v>1.5778431372549018</c:v>
                </c:pt>
                <c:pt idx="13">
                  <c:v>1.5690224358974361</c:v>
                </c:pt>
                <c:pt idx="14">
                  <c:v>1.6324363992172211</c:v>
                </c:pt>
                <c:pt idx="15">
                  <c:v>1.7627054794520547</c:v>
                </c:pt>
                <c:pt idx="16">
                  <c:v>1.7472619047619049</c:v>
                </c:pt>
                <c:pt idx="17">
                  <c:v>1.8295862068965518</c:v>
                </c:pt>
                <c:pt idx="18">
                  <c:v>1.8384965034965033</c:v>
                </c:pt>
                <c:pt idx="19">
                  <c:v>1.8963614206128137</c:v>
                </c:pt>
                <c:pt idx="20">
                  <c:v>1.9035035211267606</c:v>
                </c:pt>
                <c:pt idx="21">
                  <c:v>1.9100704225352114</c:v>
                </c:pt>
                <c:pt idx="22">
                  <c:v>2.0005649717514125</c:v>
                </c:pt>
                <c:pt idx="23">
                  <c:v>1.9899396735273245</c:v>
                </c:pt>
                <c:pt idx="24">
                  <c:v>1.9229821428571425</c:v>
                </c:pt>
                <c:pt idx="25">
                  <c:v>2.0939028776978419</c:v>
                </c:pt>
                <c:pt idx="26">
                  <c:v>2.1</c:v>
                </c:pt>
                <c:pt idx="27">
                  <c:v>2.0337318840579708</c:v>
                </c:pt>
                <c:pt idx="28">
                  <c:v>1.9761655405405403</c:v>
                </c:pt>
                <c:pt idx="29">
                  <c:v>1.9323333333333332</c:v>
                </c:pt>
                <c:pt idx="30">
                  <c:v>1.9914675767918086</c:v>
                </c:pt>
                <c:pt idx="31">
                  <c:v>1.9260810810810811</c:v>
                </c:pt>
                <c:pt idx="32">
                  <c:v>1.8952500000000001</c:v>
                </c:pt>
                <c:pt idx="33">
                  <c:v>1.8656388888888891</c:v>
                </c:pt>
                <c:pt idx="34">
                  <c:v>1.9555218855218857</c:v>
                </c:pt>
                <c:pt idx="35">
                  <c:v>1.9658703071672352</c:v>
                </c:pt>
                <c:pt idx="36">
                  <c:v>1.9398327759197325</c:v>
                </c:pt>
                <c:pt idx="37">
                  <c:v>1.9327852348993289</c:v>
                </c:pt>
                <c:pt idx="38">
                  <c:v>1.9227486559139784</c:v>
                </c:pt>
                <c:pt idx="39">
                  <c:v>1.9168166666666666</c:v>
                </c:pt>
                <c:pt idx="40">
                  <c:v>1.9323441644562334</c:v>
                </c:pt>
                <c:pt idx="41">
                  <c:v>1.8868976897689769</c:v>
                </c:pt>
                <c:pt idx="42">
                  <c:v>1.8965849673202615</c:v>
                </c:pt>
                <c:pt idx="43">
                  <c:v>1.8371617161716172</c:v>
                </c:pt>
                <c:pt idx="44">
                  <c:v>1.8448006644518271</c:v>
                </c:pt>
                <c:pt idx="45">
                  <c:v>1.821</c:v>
                </c:pt>
                <c:pt idx="46">
                  <c:v>1.8217265831134561</c:v>
                </c:pt>
                <c:pt idx="47">
                  <c:v>1.8782813536828136</c:v>
                </c:pt>
                <c:pt idx="48">
                  <c:v>1.85</c:v>
                </c:pt>
                <c:pt idx="49">
                  <c:v>1.85</c:v>
                </c:pt>
                <c:pt idx="50">
                  <c:v>1.85</c:v>
                </c:pt>
                <c:pt idx="51">
                  <c:v>1.85</c:v>
                </c:pt>
                <c:pt idx="52">
                  <c:v>1.89</c:v>
                </c:pt>
                <c:pt idx="53">
                  <c:v>1.9</c:v>
                </c:pt>
                <c:pt idx="54">
                  <c:v>1.92</c:v>
                </c:pt>
                <c:pt idx="55">
                  <c:v>1.91</c:v>
                </c:pt>
                <c:pt idx="56">
                  <c:v>1.81</c:v>
                </c:pt>
                <c:pt idx="57">
                  <c:v>1.79</c:v>
                </c:pt>
                <c:pt idx="58">
                  <c:v>1.83</c:v>
                </c:pt>
                <c:pt idx="59">
                  <c:v>1.81</c:v>
                </c:pt>
                <c:pt idx="60">
                  <c:v>1.82</c:v>
                </c:pt>
                <c:pt idx="61">
                  <c:v>1.84</c:v>
                </c:pt>
                <c:pt idx="62">
                  <c:v>1.9</c:v>
                </c:pt>
                <c:pt idx="63">
                  <c:v>1.93</c:v>
                </c:pt>
                <c:pt idx="64">
                  <c:v>1.93</c:v>
                </c:pt>
                <c:pt idx="65">
                  <c:v>1.91</c:v>
                </c:pt>
                <c:pt idx="66">
                  <c:v>1.91</c:v>
                </c:pt>
                <c:pt idx="67">
                  <c:v>1.93</c:v>
                </c:pt>
                <c:pt idx="68">
                  <c:v>1.96</c:v>
                </c:pt>
                <c:pt idx="69">
                  <c:v>1.98</c:v>
                </c:pt>
                <c:pt idx="70">
                  <c:v>2</c:v>
                </c:pt>
                <c:pt idx="71">
                  <c:v>1.99</c:v>
                </c:pt>
                <c:pt idx="72">
                  <c:v>1.98</c:v>
                </c:pt>
                <c:pt idx="73">
                  <c:v>1.99</c:v>
                </c:pt>
                <c:pt idx="74">
                  <c:v>1.98</c:v>
                </c:pt>
                <c:pt idx="75">
                  <c:v>1.92</c:v>
                </c:pt>
                <c:pt idx="76">
                  <c:v>1.88</c:v>
                </c:pt>
                <c:pt idx="77">
                  <c:v>1.86</c:v>
                </c:pt>
                <c:pt idx="78">
                  <c:v>1.87</c:v>
                </c:pt>
                <c:pt idx="79">
                  <c:v>1.87</c:v>
                </c:pt>
                <c:pt idx="80">
                  <c:v>1.86</c:v>
                </c:pt>
                <c:pt idx="81">
                  <c:v>1.84</c:v>
                </c:pt>
                <c:pt idx="82">
                  <c:v>1.8</c:v>
                </c:pt>
                <c:pt idx="83">
                  <c:v>1.82</c:v>
                </c:pt>
                <c:pt idx="84">
                  <c:v>1.8</c:v>
                </c:pt>
                <c:pt idx="85">
                  <c:v>1.79</c:v>
                </c:pt>
                <c:pt idx="86">
                  <c:v>1.76</c:v>
                </c:pt>
                <c:pt idx="87">
                  <c:v>1.77</c:v>
                </c:pt>
                <c:pt idx="88">
                  <c:v>1.83</c:v>
                </c:pt>
                <c:pt idx="89">
                  <c:v>1.85</c:v>
                </c:pt>
                <c:pt idx="90">
                  <c:v>1.86</c:v>
                </c:pt>
                <c:pt idx="91">
                  <c:v>1.87</c:v>
                </c:pt>
                <c:pt idx="92">
                  <c:v>1.91</c:v>
                </c:pt>
                <c:pt idx="93">
                  <c:v>1.89</c:v>
                </c:pt>
                <c:pt idx="94">
                  <c:v>1.87</c:v>
                </c:pt>
                <c:pt idx="95">
                  <c:v>1.91</c:v>
                </c:pt>
                <c:pt idx="96">
                  <c:v>1.91</c:v>
                </c:pt>
                <c:pt idx="97">
                  <c:v>1.91</c:v>
                </c:pt>
                <c:pt idx="98">
                  <c:v>1.9</c:v>
                </c:pt>
                <c:pt idx="99">
                  <c:v>1.89</c:v>
                </c:pt>
                <c:pt idx="100">
                  <c:v>1.89</c:v>
                </c:pt>
                <c:pt idx="101">
                  <c:v>1.9</c:v>
                </c:pt>
                <c:pt idx="102">
                  <c:v>1.9</c:v>
                </c:pt>
                <c:pt idx="103">
                  <c:v>1.91</c:v>
                </c:pt>
                <c:pt idx="104">
                  <c:v>1.91</c:v>
                </c:pt>
                <c:pt idx="105">
                  <c:v>1.91</c:v>
                </c:pt>
                <c:pt idx="106">
                  <c:v>1.85</c:v>
                </c:pt>
                <c:pt idx="107">
                  <c:v>1.76</c:v>
                </c:pt>
                <c:pt idx="108">
                  <c:v>1.75</c:v>
                </c:pt>
                <c:pt idx="109">
                  <c:v>1.77</c:v>
                </c:pt>
                <c:pt idx="110">
                  <c:v>1.75</c:v>
                </c:pt>
                <c:pt idx="111">
                  <c:v>1.71</c:v>
                </c:pt>
                <c:pt idx="112">
                  <c:v>1.71</c:v>
                </c:pt>
                <c:pt idx="113">
                  <c:v>1.68</c:v>
                </c:pt>
                <c:pt idx="114">
                  <c:v>1.7</c:v>
                </c:pt>
                <c:pt idx="115">
                  <c:v>1.68</c:v>
                </c:pt>
                <c:pt idx="116">
                  <c:v>1.67</c:v>
                </c:pt>
                <c:pt idx="117">
                  <c:v>1.67</c:v>
                </c:pt>
                <c:pt idx="118">
                  <c:v>1.66</c:v>
                </c:pt>
                <c:pt idx="119">
                  <c:v>1.66</c:v>
                </c:pt>
                <c:pt idx="120">
                  <c:v>1.67</c:v>
                </c:pt>
                <c:pt idx="121">
                  <c:v>1.67</c:v>
                </c:pt>
                <c:pt idx="122">
                  <c:v>1.67</c:v>
                </c:pt>
                <c:pt idx="123">
                  <c:v>1.67</c:v>
                </c:pt>
                <c:pt idx="124">
                  <c:v>1.65</c:v>
                </c:pt>
                <c:pt idx="125">
                  <c:v>1.55</c:v>
                </c:pt>
                <c:pt idx="126">
                  <c:v>1.5</c:v>
                </c:pt>
                <c:pt idx="127">
                  <c:v>1.39</c:v>
                </c:pt>
                <c:pt idx="128">
                  <c:v>1.4</c:v>
                </c:pt>
                <c:pt idx="129">
                  <c:v>1.36</c:v>
                </c:pt>
                <c:pt idx="130">
                  <c:v>1.41</c:v>
                </c:pt>
                <c:pt idx="131">
                  <c:v>1.29</c:v>
                </c:pt>
                <c:pt idx="132">
                  <c:v>1.29</c:v>
                </c:pt>
                <c:pt idx="133">
                  <c:v>1.3</c:v>
                </c:pt>
                <c:pt idx="134">
                  <c:v>1.36</c:v>
                </c:pt>
                <c:pt idx="135">
                  <c:v>1.41</c:v>
                </c:pt>
                <c:pt idx="136">
                  <c:v>1.39</c:v>
                </c:pt>
                <c:pt idx="137">
                  <c:v>1.4</c:v>
                </c:pt>
                <c:pt idx="138">
                  <c:v>1.43</c:v>
                </c:pt>
                <c:pt idx="139">
                  <c:v>1.46</c:v>
                </c:pt>
                <c:pt idx="140">
                  <c:v>1.38</c:v>
                </c:pt>
                <c:pt idx="141">
                  <c:v>1.38</c:v>
                </c:pt>
                <c:pt idx="142">
                  <c:v>1.1499999999999999</c:v>
                </c:pt>
                <c:pt idx="143">
                  <c:v>1.42</c:v>
                </c:pt>
                <c:pt idx="144">
                  <c:v>1.32</c:v>
                </c:pt>
                <c:pt idx="145">
                  <c:v>1.4</c:v>
                </c:pt>
                <c:pt idx="146">
                  <c:v>1.35</c:v>
                </c:pt>
                <c:pt idx="147">
                  <c:v>1.4</c:v>
                </c:pt>
                <c:pt idx="148">
                  <c:v>1.48</c:v>
                </c:pt>
                <c:pt idx="149">
                  <c:v>1.48</c:v>
                </c:pt>
                <c:pt idx="150">
                  <c:v>1.48</c:v>
                </c:pt>
                <c:pt idx="151">
                  <c:v>1.52</c:v>
                </c:pt>
                <c:pt idx="152">
                  <c:v>1.53</c:v>
                </c:pt>
                <c:pt idx="153">
                  <c:v>1.51</c:v>
                </c:pt>
                <c:pt idx="154">
                  <c:v>1.46</c:v>
                </c:pt>
                <c:pt idx="155">
                  <c:v>1.44</c:v>
                </c:pt>
                <c:pt idx="156">
                  <c:v>1.44</c:v>
                </c:pt>
                <c:pt idx="157">
                  <c:v>1.4</c:v>
                </c:pt>
                <c:pt idx="158">
                  <c:v>1.4</c:v>
                </c:pt>
                <c:pt idx="159">
                  <c:v>1.4</c:v>
                </c:pt>
                <c:pt idx="160" formatCode="General">
                  <c:v>1.43</c:v>
                </c:pt>
                <c:pt idx="161" formatCode="General">
                  <c:v>1.43</c:v>
                </c:pt>
                <c:pt idx="162" formatCode="General">
                  <c:v>1.46</c:v>
                </c:pt>
                <c:pt idx="163" formatCode="General">
                  <c:v>1.47</c:v>
                </c:pt>
                <c:pt idx="164" formatCode="General">
                  <c:v>1.51</c:v>
                </c:pt>
                <c:pt idx="165" formatCode="General">
                  <c:v>1.55</c:v>
                </c:pt>
                <c:pt idx="166" formatCode="General">
                  <c:v>1.65</c:v>
                </c:pt>
                <c:pt idx="167" formatCode="General">
                  <c:v>1.63</c:v>
                </c:pt>
                <c:pt idx="168" formatCode="General">
                  <c:v>1.75</c:v>
                </c:pt>
                <c:pt idx="169">
                  <c:v>1.7</c:v>
                </c:pt>
                <c:pt idx="170">
                  <c:v>1.72</c:v>
                </c:pt>
                <c:pt idx="171">
                  <c:v>1.67</c:v>
                </c:pt>
                <c:pt idx="172">
                  <c:v>1.59</c:v>
                </c:pt>
                <c:pt idx="173">
                  <c:v>1.58</c:v>
                </c:pt>
                <c:pt idx="174">
                  <c:v>1.62</c:v>
                </c:pt>
                <c:pt idx="175">
                  <c:v>1.57</c:v>
                </c:pt>
                <c:pt idx="176">
                  <c:v>1.59</c:v>
                </c:pt>
                <c:pt idx="177">
                  <c:v>1.6</c:v>
                </c:pt>
                <c:pt idx="178">
                  <c:v>1.6</c:v>
                </c:pt>
                <c:pt idx="179">
                  <c:v>1.61</c:v>
                </c:pt>
                <c:pt idx="180">
                  <c:v>1.63</c:v>
                </c:pt>
                <c:pt idx="181">
                  <c:v>1.63</c:v>
                </c:pt>
                <c:pt idx="182">
                  <c:v>1.67</c:v>
                </c:pt>
                <c:pt idx="183">
                  <c:v>1.7</c:v>
                </c:pt>
                <c:pt idx="184">
                  <c:v>1.71</c:v>
                </c:pt>
                <c:pt idx="185">
                  <c:v>1.73</c:v>
                </c:pt>
                <c:pt idx="186">
                  <c:v>1.76</c:v>
                </c:pt>
                <c:pt idx="187">
                  <c:v>1.73</c:v>
                </c:pt>
                <c:pt idx="188">
                  <c:v>1.7</c:v>
                </c:pt>
                <c:pt idx="189">
                  <c:v>1.65</c:v>
                </c:pt>
                <c:pt idx="190">
                  <c:v>1.61</c:v>
                </c:pt>
                <c:pt idx="191">
                  <c:v>1.31</c:v>
                </c:pt>
                <c:pt idx="192">
                  <c:v>1.36</c:v>
                </c:pt>
                <c:pt idx="193">
                  <c:v>1.32</c:v>
                </c:pt>
                <c:pt idx="194">
                  <c:v>1.39</c:v>
                </c:pt>
                <c:pt idx="195">
                  <c:v>1.38</c:v>
                </c:pt>
                <c:pt idx="196">
                  <c:v>1.38</c:v>
                </c:pt>
                <c:pt idx="197">
                  <c:v>1.36</c:v>
                </c:pt>
                <c:pt idx="198">
                  <c:v>1.33</c:v>
                </c:pt>
                <c:pt idx="199">
                  <c:v>1.33</c:v>
                </c:pt>
                <c:pt idx="200">
                  <c:v>1.32</c:v>
                </c:pt>
                <c:pt idx="201">
                  <c:v>1.26</c:v>
                </c:pt>
                <c:pt idx="202">
                  <c:v>1.4</c:v>
                </c:pt>
                <c:pt idx="203">
                  <c:v>1.4</c:v>
                </c:pt>
                <c:pt idx="204">
                  <c:v>1.4</c:v>
                </c:pt>
                <c:pt idx="205">
                  <c:v>1.4</c:v>
                </c:pt>
                <c:pt idx="206">
                  <c:v>1.4</c:v>
                </c:pt>
                <c:pt idx="207">
                  <c:v>1.4</c:v>
                </c:pt>
                <c:pt idx="208">
                  <c:v>1.4</c:v>
                </c:pt>
                <c:pt idx="209">
                  <c:v>1.48</c:v>
                </c:pt>
                <c:pt idx="210">
                  <c:v>1.46</c:v>
                </c:pt>
                <c:pt idx="211">
                  <c:v>1.47</c:v>
                </c:pt>
                <c:pt idx="212">
                  <c:v>1.52</c:v>
                </c:pt>
                <c:pt idx="213">
                  <c:v>1.55</c:v>
                </c:pt>
                <c:pt idx="214">
                  <c:v>1.52</c:v>
                </c:pt>
                <c:pt idx="215">
                  <c:v>1.55</c:v>
                </c:pt>
                <c:pt idx="216">
                  <c:v>1.54</c:v>
                </c:pt>
                <c:pt idx="217">
                  <c:v>1.57</c:v>
                </c:pt>
                <c:pt idx="218">
                  <c:v>1.59</c:v>
                </c:pt>
                <c:pt idx="219">
                  <c:v>1.6</c:v>
                </c:pt>
                <c:pt idx="220">
                  <c:v>1.6</c:v>
                </c:pt>
                <c:pt idx="221">
                  <c:v>1.6</c:v>
                </c:pt>
                <c:pt idx="222">
                  <c:v>1.53</c:v>
                </c:pt>
                <c:pt idx="223">
                  <c:v>0</c:v>
                </c:pt>
                <c:pt idx="224">
                  <c:v>1.49</c:v>
                </c:pt>
                <c:pt idx="225">
                  <c:v>1.45</c:v>
                </c:pt>
                <c:pt idx="226">
                  <c:v>1.43</c:v>
                </c:pt>
                <c:pt idx="227">
                  <c:v>1.41</c:v>
                </c:pt>
                <c:pt idx="228">
                  <c:v>1.4</c:v>
                </c:pt>
                <c:pt idx="229">
                  <c:v>1.4</c:v>
                </c:pt>
                <c:pt idx="230">
                  <c:v>1.41</c:v>
                </c:pt>
                <c:pt idx="231">
                  <c:v>1.4</c:v>
                </c:pt>
                <c:pt idx="232">
                  <c:v>1.4</c:v>
                </c:pt>
                <c:pt idx="233">
                  <c:v>1.4</c:v>
                </c:pt>
                <c:pt idx="234">
                  <c:v>1.38</c:v>
                </c:pt>
                <c:pt idx="235">
                  <c:v>1.45</c:v>
                </c:pt>
                <c:pt idx="236">
                  <c:v>1.44</c:v>
                </c:pt>
                <c:pt idx="237">
                  <c:v>1.46</c:v>
                </c:pt>
                <c:pt idx="238">
                  <c:v>1.48</c:v>
                </c:pt>
                <c:pt idx="239">
                  <c:v>1.53</c:v>
                </c:pt>
                <c:pt idx="240">
                  <c:v>1.53</c:v>
                </c:pt>
                <c:pt idx="241">
                  <c:v>1.55</c:v>
                </c:pt>
                <c:pt idx="242">
                  <c:v>1.59</c:v>
                </c:pt>
                <c:pt idx="243">
                  <c:v>1.6</c:v>
                </c:pt>
                <c:pt idx="244">
                  <c:v>1.6</c:v>
                </c:pt>
                <c:pt idx="245">
                  <c:v>1.6</c:v>
                </c:pt>
                <c:pt idx="246">
                  <c:v>1.6</c:v>
                </c:pt>
                <c:pt idx="247">
                  <c:v>1.59</c:v>
                </c:pt>
                <c:pt idx="248">
                  <c:v>1.59</c:v>
                </c:pt>
                <c:pt idx="249">
                  <c:v>1.55</c:v>
                </c:pt>
                <c:pt idx="250">
                  <c:v>1.53</c:v>
                </c:pt>
                <c:pt idx="251">
                  <c:v>1.53</c:v>
                </c:pt>
                <c:pt idx="252">
                  <c:v>1.5</c:v>
                </c:pt>
                <c:pt idx="253">
                  <c:v>1.51</c:v>
                </c:pt>
                <c:pt idx="254">
                  <c:v>1.54</c:v>
                </c:pt>
                <c:pt idx="255">
                  <c:v>1.56</c:v>
                </c:pt>
                <c:pt idx="256">
                  <c:v>1.58</c:v>
                </c:pt>
                <c:pt idx="257">
                  <c:v>1.59</c:v>
                </c:pt>
                <c:pt idx="258">
                  <c:v>1.61</c:v>
                </c:pt>
                <c:pt idx="259">
                  <c:v>1.66</c:v>
                </c:pt>
                <c:pt idx="260">
                  <c:v>1.77</c:v>
                </c:pt>
                <c:pt idx="261">
                  <c:v>1.94</c:v>
                </c:pt>
                <c:pt idx="262">
                  <c:v>1.97</c:v>
                </c:pt>
                <c:pt idx="263">
                  <c:v>1.97</c:v>
                </c:pt>
                <c:pt idx="264">
                  <c:v>1.95</c:v>
                </c:pt>
                <c:pt idx="265">
                  <c:v>1.98</c:v>
                </c:pt>
                <c:pt idx="266">
                  <c:v>1.98</c:v>
                </c:pt>
                <c:pt idx="267">
                  <c:v>1.95</c:v>
                </c:pt>
                <c:pt idx="268">
                  <c:v>1.99</c:v>
                </c:pt>
                <c:pt idx="269">
                  <c:v>2</c:v>
                </c:pt>
                <c:pt idx="270">
                  <c:v>2.02</c:v>
                </c:pt>
                <c:pt idx="271">
                  <c:v>2.0299999999999998</c:v>
                </c:pt>
                <c:pt idx="272">
                  <c:v>2.0499999999999998</c:v>
                </c:pt>
                <c:pt idx="273">
                  <c:v>2.09</c:v>
                </c:pt>
                <c:pt idx="274">
                  <c:v>2.09</c:v>
                </c:pt>
                <c:pt idx="275">
                  <c:v>2.08</c:v>
                </c:pt>
                <c:pt idx="276">
                  <c:v>2.08</c:v>
                </c:pt>
                <c:pt idx="277">
                  <c:v>2.06</c:v>
                </c:pt>
                <c:pt idx="278">
                  <c:v>2.08</c:v>
                </c:pt>
                <c:pt idx="279">
                  <c:v>2.1</c:v>
                </c:pt>
                <c:pt idx="280">
                  <c:v>2.1</c:v>
                </c:pt>
                <c:pt idx="281">
                  <c:v>2.11</c:v>
                </c:pt>
                <c:pt idx="282">
                  <c:v>2.13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2.1800000000000002</c:v>
                </c:pt>
                <c:pt idx="287">
                  <c:v>2.08</c:v>
                </c:pt>
                <c:pt idx="288">
                  <c:v>2.09</c:v>
                </c:pt>
                <c:pt idx="289">
                  <c:v>2.06</c:v>
                </c:pt>
                <c:pt idx="290">
                  <c:v>2.02</c:v>
                </c:pt>
                <c:pt idx="291">
                  <c:v>2.0299999999999998</c:v>
                </c:pt>
                <c:pt idx="292">
                  <c:v>2.04</c:v>
                </c:pt>
                <c:pt idx="293">
                  <c:v>2.04</c:v>
                </c:pt>
                <c:pt idx="294">
                  <c:v>2.0499999999999998</c:v>
                </c:pt>
                <c:pt idx="295">
                  <c:v>2.0499999999999998</c:v>
                </c:pt>
                <c:pt idx="296">
                  <c:v>2.0499999999999998</c:v>
                </c:pt>
                <c:pt idx="297">
                  <c:v>2.06</c:v>
                </c:pt>
                <c:pt idx="298">
                  <c:v>2.0699999999999998</c:v>
                </c:pt>
                <c:pt idx="299">
                  <c:v>2.0699999999999998</c:v>
                </c:pt>
                <c:pt idx="300">
                  <c:v>2.09</c:v>
                </c:pt>
                <c:pt idx="301">
                  <c:v>2.1</c:v>
                </c:pt>
                <c:pt idx="302">
                  <c:v>2.1</c:v>
                </c:pt>
                <c:pt idx="303">
                  <c:v>2.11</c:v>
                </c:pt>
                <c:pt idx="304">
                  <c:v>2.11</c:v>
                </c:pt>
                <c:pt idx="305">
                  <c:v>2.15</c:v>
                </c:pt>
                <c:pt idx="306">
                  <c:v>2.25</c:v>
                </c:pt>
                <c:pt idx="307">
                  <c:v>2.2999999999999998</c:v>
                </c:pt>
                <c:pt idx="308">
                  <c:v>2.3199999999999998</c:v>
                </c:pt>
                <c:pt idx="309">
                  <c:v>2.5</c:v>
                </c:pt>
                <c:pt idx="310">
                  <c:v>2.5499999999999998</c:v>
                </c:pt>
                <c:pt idx="311">
                  <c:v>2.5499999999999998</c:v>
                </c:pt>
                <c:pt idx="312">
                  <c:v>2.5499999999999998</c:v>
                </c:pt>
                <c:pt idx="313">
                  <c:v>2.5499999999999998</c:v>
                </c:pt>
                <c:pt idx="314">
                  <c:v>2.5499999999999998</c:v>
                </c:pt>
                <c:pt idx="315">
                  <c:v>2.54</c:v>
                </c:pt>
                <c:pt idx="316">
                  <c:v>2.56</c:v>
                </c:pt>
                <c:pt idx="317">
                  <c:v>2.57</c:v>
                </c:pt>
                <c:pt idx="318">
                  <c:v>2.56</c:v>
                </c:pt>
                <c:pt idx="319">
                  <c:v>2.57</c:v>
                </c:pt>
                <c:pt idx="320">
                  <c:v>2.56</c:v>
                </c:pt>
                <c:pt idx="321">
                  <c:v>2.57</c:v>
                </c:pt>
                <c:pt idx="322">
                  <c:v>2.59</c:v>
                </c:pt>
                <c:pt idx="323">
                  <c:v>2.7</c:v>
                </c:pt>
                <c:pt idx="324">
                  <c:v>2.75</c:v>
                </c:pt>
                <c:pt idx="325">
                  <c:v>2.78</c:v>
                </c:pt>
                <c:pt idx="326">
                  <c:v>2.8</c:v>
                </c:pt>
                <c:pt idx="327">
                  <c:v>2.82</c:v>
                </c:pt>
                <c:pt idx="328">
                  <c:v>2.81</c:v>
                </c:pt>
                <c:pt idx="329">
                  <c:v>2.86</c:v>
                </c:pt>
                <c:pt idx="330">
                  <c:v>2.89</c:v>
                </c:pt>
                <c:pt idx="331">
                  <c:v>2.9</c:v>
                </c:pt>
                <c:pt idx="332">
                  <c:v>2.89</c:v>
                </c:pt>
                <c:pt idx="333">
                  <c:v>2.89</c:v>
                </c:pt>
                <c:pt idx="334">
                  <c:v>2.89</c:v>
                </c:pt>
                <c:pt idx="335">
                  <c:v>2.89</c:v>
                </c:pt>
                <c:pt idx="336">
                  <c:v>2.88</c:v>
                </c:pt>
                <c:pt idx="337">
                  <c:v>2.84</c:v>
                </c:pt>
                <c:pt idx="338">
                  <c:v>2.8</c:v>
                </c:pt>
                <c:pt idx="339">
                  <c:v>2.7</c:v>
                </c:pt>
                <c:pt idx="340">
                  <c:v>2.7</c:v>
                </c:pt>
                <c:pt idx="341">
                  <c:v>2.6</c:v>
                </c:pt>
                <c:pt idx="342">
                  <c:v>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48128"/>
        <c:axId val="200849664"/>
      </c:lineChart>
      <c:catAx>
        <c:axId val="20084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200849664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200849664"/>
        <c:scaling>
          <c:orientation val="minMax"/>
          <c:max val="3.5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200848128"/>
        <c:crosses val="autoZero"/>
        <c:crossBetween val="between"/>
        <c:majorUnit val="0.5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" footer="0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" footer="0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0438" cy="583406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720"/>
  <sheetViews>
    <sheetView tabSelected="1" zoomScale="80" zoomScaleNormal="80" workbookViewId="0">
      <pane ySplit="4" topLeftCell="A705" activePane="bottomLeft" state="frozen"/>
      <selection pane="bottomLeft" activeCell="F717" sqref="F717"/>
    </sheetView>
  </sheetViews>
  <sheetFormatPr baseColWidth="10" defaultRowHeight="12.75" x14ac:dyDescent="0.2"/>
  <cols>
    <col min="1" max="1" width="17.28515625" style="24" customWidth="1"/>
    <col min="2" max="3" width="12.5703125" style="23" bestFit="1" customWidth="1"/>
    <col min="4" max="4" width="12.42578125" style="23" hidden="1" customWidth="1"/>
    <col min="5" max="5" width="13.7109375" style="23" customWidth="1"/>
    <col min="6" max="7" width="11.5703125" style="23" customWidth="1"/>
    <col min="8" max="8" width="11.42578125" style="23"/>
    <col min="9" max="9" width="17.5703125" style="23" customWidth="1"/>
    <col min="10" max="10" width="14.42578125" style="23" customWidth="1"/>
    <col min="11" max="11" width="14.140625" style="23" customWidth="1"/>
    <col min="12" max="12" width="12.42578125" style="23" customWidth="1"/>
    <col min="13" max="14" width="11.42578125" style="23"/>
    <col min="15" max="15" width="13.85546875" style="23" customWidth="1"/>
    <col min="16" max="16" width="13.5703125" style="23" customWidth="1"/>
    <col min="17" max="17" width="17.85546875" style="23" customWidth="1"/>
    <col min="18" max="18" width="11.42578125" style="40"/>
    <col min="19" max="19" width="11.42578125" style="41"/>
  </cols>
  <sheetData>
    <row r="1" spans="1:19" ht="23.25" thickBot="1" x14ac:dyDescent="0.5">
      <c r="A1" s="53" t="s">
        <v>20</v>
      </c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  <c r="Q1" s="11"/>
    </row>
    <row r="2" spans="1:19" s="47" customFormat="1" ht="24" customHeight="1" x14ac:dyDescent="0.4">
      <c r="A2" s="159" t="s">
        <v>0</v>
      </c>
      <c r="B2" s="157" t="s">
        <v>1</v>
      </c>
      <c r="C2" s="158"/>
      <c r="D2" s="162" t="s">
        <v>2</v>
      </c>
      <c r="E2" s="157"/>
      <c r="F2" s="158"/>
      <c r="G2" s="57" t="s">
        <v>3</v>
      </c>
      <c r="H2" s="57"/>
      <c r="I2" s="57"/>
      <c r="J2" s="57"/>
      <c r="K2" s="57"/>
      <c r="L2" s="58" t="s">
        <v>4</v>
      </c>
      <c r="M2" s="57" t="s">
        <v>86</v>
      </c>
      <c r="N2" s="57"/>
      <c r="O2" s="57" t="s">
        <v>5</v>
      </c>
      <c r="P2" s="57"/>
      <c r="Q2" s="59" t="s">
        <v>676</v>
      </c>
      <c r="R2" s="45"/>
      <c r="S2" s="46"/>
    </row>
    <row r="3" spans="1:19" ht="29.25" customHeight="1" x14ac:dyDescent="0.2">
      <c r="A3" s="160"/>
      <c r="B3" s="52" t="s">
        <v>6</v>
      </c>
      <c r="C3" s="48" t="s">
        <v>7</v>
      </c>
      <c r="D3" s="48" t="s">
        <v>8</v>
      </c>
      <c r="E3" s="49" t="s">
        <v>9</v>
      </c>
      <c r="F3" s="49" t="s">
        <v>275</v>
      </c>
      <c r="G3" s="49" t="s">
        <v>278</v>
      </c>
      <c r="H3" s="49" t="s">
        <v>277</v>
      </c>
      <c r="I3" s="49" t="s">
        <v>276</v>
      </c>
      <c r="J3" s="50" t="s">
        <v>10</v>
      </c>
      <c r="K3" s="50" t="s">
        <v>11</v>
      </c>
      <c r="L3" s="49" t="s">
        <v>6</v>
      </c>
      <c r="M3" s="48" t="s">
        <v>6</v>
      </c>
      <c r="N3" s="49" t="s">
        <v>7</v>
      </c>
      <c r="O3" s="51" t="s">
        <v>12</v>
      </c>
      <c r="P3" s="51" t="s">
        <v>13</v>
      </c>
      <c r="Q3" s="60" t="s">
        <v>6</v>
      </c>
    </row>
    <row r="4" spans="1:19" s="1" customFormat="1" ht="16.5" customHeight="1" thickBot="1" x14ac:dyDescent="0.25">
      <c r="A4" s="161"/>
      <c r="B4" s="12" t="s">
        <v>14</v>
      </c>
      <c r="C4" s="13"/>
      <c r="D4" s="14" t="s">
        <v>15</v>
      </c>
      <c r="E4" s="163" t="s">
        <v>14</v>
      </c>
      <c r="F4" s="164"/>
      <c r="G4" s="14" t="s">
        <v>16</v>
      </c>
      <c r="H4" s="14"/>
      <c r="I4" s="15" t="s">
        <v>679</v>
      </c>
      <c r="J4" s="16" t="s">
        <v>17</v>
      </c>
      <c r="K4" s="14"/>
      <c r="L4" s="147" t="s">
        <v>18</v>
      </c>
      <c r="M4" s="14" t="s">
        <v>18</v>
      </c>
      <c r="N4" s="16"/>
      <c r="O4" s="14" t="s">
        <v>19</v>
      </c>
      <c r="P4" s="16"/>
      <c r="Q4" s="61" t="s">
        <v>19</v>
      </c>
      <c r="R4" s="42"/>
      <c r="S4" s="43"/>
    </row>
    <row r="5" spans="1:19" x14ac:dyDescent="0.2">
      <c r="A5" s="86" t="s">
        <v>21</v>
      </c>
      <c r="B5" s="54">
        <v>0.87</v>
      </c>
      <c r="C5" s="54">
        <v>0.44</v>
      </c>
      <c r="D5" s="37">
        <v>0.93</v>
      </c>
      <c r="E5" s="37">
        <v>0.78</v>
      </c>
      <c r="F5" s="37">
        <v>0.75</v>
      </c>
      <c r="G5" s="54">
        <v>1.21</v>
      </c>
      <c r="H5" s="54">
        <v>1.1200000000000001</v>
      </c>
      <c r="I5" s="54">
        <v>2.36</v>
      </c>
      <c r="J5" s="55">
        <v>1.6736</v>
      </c>
      <c r="K5" s="55">
        <v>3.222</v>
      </c>
      <c r="L5" s="56">
        <v>1.9</v>
      </c>
      <c r="M5" s="37" t="s">
        <v>22</v>
      </c>
      <c r="N5" s="37" t="s">
        <v>22</v>
      </c>
      <c r="O5" s="37" t="s">
        <v>22</v>
      </c>
      <c r="P5" s="37" t="s">
        <v>22</v>
      </c>
      <c r="Q5" s="87" t="s">
        <v>22</v>
      </c>
    </row>
    <row r="6" spans="1:19" x14ac:dyDescent="0.2">
      <c r="A6" s="88" t="s">
        <v>23</v>
      </c>
      <c r="B6" s="2">
        <v>0.92</v>
      </c>
      <c r="C6" s="5">
        <v>0.4</v>
      </c>
      <c r="D6" s="2">
        <v>0.94</v>
      </c>
      <c r="E6" s="2">
        <v>0.78</v>
      </c>
      <c r="F6" s="2">
        <v>0.75</v>
      </c>
      <c r="G6" s="2">
        <v>1.1299999999999999</v>
      </c>
      <c r="H6" s="2">
        <v>1.04</v>
      </c>
      <c r="I6" s="2">
        <v>2.44</v>
      </c>
      <c r="J6" s="4">
        <v>1.7390000000000001</v>
      </c>
      <c r="K6" s="4">
        <v>3.1739999999999999</v>
      </c>
      <c r="L6" s="2">
        <v>1.85</v>
      </c>
      <c r="M6" s="3" t="s">
        <v>22</v>
      </c>
      <c r="N6" s="3" t="s">
        <v>22</v>
      </c>
      <c r="O6" s="2">
        <v>2.0499999999999998</v>
      </c>
      <c r="P6" s="2">
        <v>2.0499999999999998</v>
      </c>
      <c r="Q6" s="89">
        <v>1.94</v>
      </c>
    </row>
    <row r="7" spans="1:19" x14ac:dyDescent="0.2">
      <c r="A7" s="88" t="s">
        <v>24</v>
      </c>
      <c r="B7" s="2">
        <v>0.91</v>
      </c>
      <c r="C7" s="2">
        <v>0.38</v>
      </c>
      <c r="D7" s="3">
        <v>1.01</v>
      </c>
      <c r="E7" s="3">
        <v>0.96</v>
      </c>
      <c r="F7" s="2">
        <v>0.76</v>
      </c>
      <c r="G7" s="2">
        <v>1.1200000000000001</v>
      </c>
      <c r="H7" s="2">
        <v>1.03</v>
      </c>
      <c r="I7" s="2">
        <v>2.3199999999999998</v>
      </c>
      <c r="J7" s="4">
        <v>1.589</v>
      </c>
      <c r="K7" s="4">
        <v>2.677</v>
      </c>
      <c r="L7" s="5">
        <v>1.84</v>
      </c>
      <c r="M7" s="3" t="s">
        <v>22</v>
      </c>
      <c r="N7" s="3" t="s">
        <v>22</v>
      </c>
      <c r="O7" s="2">
        <v>1.93</v>
      </c>
      <c r="P7" s="2">
        <v>1.96</v>
      </c>
      <c r="Q7" s="89">
        <v>1.95</v>
      </c>
    </row>
    <row r="8" spans="1:19" x14ac:dyDescent="0.2">
      <c r="A8" s="88" t="s">
        <v>25</v>
      </c>
      <c r="B8" s="5">
        <v>0.9</v>
      </c>
      <c r="C8" s="2">
        <v>0.35</v>
      </c>
      <c r="D8" s="3">
        <v>1.01</v>
      </c>
      <c r="E8" s="3">
        <v>0.96</v>
      </c>
      <c r="F8" s="2">
        <v>0.76</v>
      </c>
      <c r="G8" s="2">
        <v>1.17</v>
      </c>
      <c r="H8" s="2">
        <v>1.08</v>
      </c>
      <c r="I8" s="2">
        <v>2.38</v>
      </c>
      <c r="J8" s="4">
        <v>1.5449999999999999</v>
      </c>
      <c r="K8" s="4">
        <v>2.7029999999999998</v>
      </c>
      <c r="L8" s="2">
        <v>1.81</v>
      </c>
      <c r="M8" s="3" t="s">
        <v>22</v>
      </c>
      <c r="N8" s="3" t="s">
        <v>22</v>
      </c>
      <c r="O8" s="2">
        <v>1.93</v>
      </c>
      <c r="P8" s="2">
        <v>1.93</v>
      </c>
      <c r="Q8" s="89">
        <v>1.86</v>
      </c>
    </row>
    <row r="9" spans="1:19" x14ac:dyDescent="0.2">
      <c r="A9" s="88" t="s">
        <v>26</v>
      </c>
      <c r="B9" s="2">
        <v>0.88</v>
      </c>
      <c r="C9" s="2">
        <v>0.35</v>
      </c>
      <c r="D9" s="3">
        <v>1.05</v>
      </c>
      <c r="E9" s="6">
        <v>1</v>
      </c>
      <c r="F9" s="2">
        <v>0.78</v>
      </c>
      <c r="G9" s="2">
        <v>1.1599999999999999</v>
      </c>
      <c r="H9" s="2">
        <v>1.08</v>
      </c>
      <c r="I9" s="2">
        <v>2.44</v>
      </c>
      <c r="J9" s="4">
        <v>1.659</v>
      </c>
      <c r="K9" s="4">
        <v>2.9249999999999998</v>
      </c>
      <c r="L9" s="5">
        <v>1.78</v>
      </c>
      <c r="M9" s="3" t="s">
        <v>22</v>
      </c>
      <c r="N9" s="3" t="s">
        <v>22</v>
      </c>
      <c r="O9" s="2">
        <v>1.93</v>
      </c>
      <c r="P9" s="2">
        <v>1.93</v>
      </c>
      <c r="Q9" s="89">
        <v>1.84</v>
      </c>
    </row>
    <row r="10" spans="1:19" x14ac:dyDescent="0.2">
      <c r="A10" s="88" t="s">
        <v>27</v>
      </c>
      <c r="B10" s="2">
        <v>0.92</v>
      </c>
      <c r="C10" s="2">
        <v>0.38</v>
      </c>
      <c r="D10" s="2">
        <v>1.07</v>
      </c>
      <c r="E10" s="2">
        <v>1.04</v>
      </c>
      <c r="F10" s="2">
        <v>0.81</v>
      </c>
      <c r="G10" s="2">
        <v>1.21</v>
      </c>
      <c r="H10" s="2">
        <v>1.1200000000000001</v>
      </c>
      <c r="I10" s="2">
        <v>2.39</v>
      </c>
      <c r="J10" s="4">
        <v>1.5580000000000001</v>
      </c>
      <c r="K10" s="4">
        <v>2.8140000000000001</v>
      </c>
      <c r="L10" s="2">
        <v>1.82</v>
      </c>
      <c r="M10" s="3" t="s">
        <v>22</v>
      </c>
      <c r="N10" s="3" t="s">
        <v>22</v>
      </c>
      <c r="O10" s="2">
        <v>1.83</v>
      </c>
      <c r="P10" s="2">
        <v>1.82</v>
      </c>
      <c r="Q10" s="89">
        <v>1.83</v>
      </c>
    </row>
    <row r="11" spans="1:19" x14ac:dyDescent="0.2">
      <c r="A11" s="88" t="s">
        <v>28</v>
      </c>
      <c r="B11" s="2">
        <v>0.97</v>
      </c>
      <c r="C11" s="2">
        <v>0.38</v>
      </c>
      <c r="D11" s="3">
        <v>1.1599999999999999</v>
      </c>
      <c r="E11" s="2">
        <v>1.1100000000000001</v>
      </c>
      <c r="F11" s="5">
        <v>0.8</v>
      </c>
      <c r="G11" s="2">
        <v>1.1299999999999999</v>
      </c>
      <c r="H11" s="2">
        <v>1.06</v>
      </c>
      <c r="I11" s="2">
        <v>2.31</v>
      </c>
      <c r="J11" s="4">
        <v>1.528</v>
      </c>
      <c r="K11" s="4">
        <v>2.7069999999999999</v>
      </c>
      <c r="L11" s="5">
        <v>1.81</v>
      </c>
      <c r="M11" s="3" t="s">
        <v>22</v>
      </c>
      <c r="N11" s="3" t="s">
        <v>22</v>
      </c>
      <c r="O11" s="2">
        <v>1.87</v>
      </c>
      <c r="P11" s="2">
        <v>1.85</v>
      </c>
      <c r="Q11" s="89">
        <v>1.75</v>
      </c>
    </row>
    <row r="12" spans="1:19" x14ac:dyDescent="0.2">
      <c r="A12" s="88" t="s">
        <v>29</v>
      </c>
      <c r="B12" s="2">
        <v>1.03</v>
      </c>
      <c r="C12" s="2">
        <v>0.42</v>
      </c>
      <c r="D12" s="2">
        <v>1.17</v>
      </c>
      <c r="E12" s="2">
        <v>1.1299999999999999</v>
      </c>
      <c r="F12" s="2">
        <v>0.86</v>
      </c>
      <c r="G12" s="2">
        <v>1.1100000000000001</v>
      </c>
      <c r="H12" s="2">
        <v>1.03</v>
      </c>
      <c r="I12" s="2">
        <v>2.25</v>
      </c>
      <c r="J12" s="4">
        <v>1.4890000000000001</v>
      </c>
      <c r="K12" s="4">
        <v>2.6379999999999999</v>
      </c>
      <c r="L12" s="2">
        <v>1.75</v>
      </c>
      <c r="M12" s="3" t="s">
        <v>22</v>
      </c>
      <c r="N12" s="3" t="s">
        <v>22</v>
      </c>
      <c r="O12" s="2">
        <v>1.82</v>
      </c>
      <c r="P12" s="5">
        <v>1.8</v>
      </c>
      <c r="Q12" s="90">
        <v>1.7</v>
      </c>
    </row>
    <row r="13" spans="1:19" x14ac:dyDescent="0.2">
      <c r="A13" s="88" t="s">
        <v>30</v>
      </c>
      <c r="B13" s="2">
        <v>1.0900000000000001</v>
      </c>
      <c r="C13" s="2">
        <v>0.41</v>
      </c>
      <c r="D13" s="2">
        <v>1.17</v>
      </c>
      <c r="E13" s="2">
        <v>1.1399999999999999</v>
      </c>
      <c r="F13" s="2">
        <v>0.89</v>
      </c>
      <c r="G13" s="2">
        <v>1.18</v>
      </c>
      <c r="H13" s="2">
        <v>1.01</v>
      </c>
      <c r="I13" s="2">
        <v>2.27</v>
      </c>
      <c r="J13" s="4">
        <v>1.4890000000000001</v>
      </c>
      <c r="K13" s="4">
        <v>2.6379999999999999</v>
      </c>
      <c r="L13" s="5">
        <v>1.8</v>
      </c>
      <c r="M13" s="3" t="s">
        <v>22</v>
      </c>
      <c r="N13" s="3" t="s">
        <v>22</v>
      </c>
      <c r="O13" s="2">
        <v>1.85</v>
      </c>
      <c r="P13" s="2">
        <v>1.82</v>
      </c>
      <c r="Q13" s="89">
        <v>1.71</v>
      </c>
    </row>
    <row r="14" spans="1:19" x14ac:dyDescent="0.2">
      <c r="A14" s="88" t="s">
        <v>31</v>
      </c>
      <c r="B14" s="5">
        <v>1.1000000000000001</v>
      </c>
      <c r="C14" s="2">
        <v>0.42</v>
      </c>
      <c r="D14" s="2">
        <v>1.17</v>
      </c>
      <c r="E14" s="2">
        <v>1.1299999999999999</v>
      </c>
      <c r="F14" s="2">
        <v>0.89</v>
      </c>
      <c r="G14" s="2">
        <v>1.19</v>
      </c>
      <c r="H14" s="2">
        <v>1.02</v>
      </c>
      <c r="I14" s="2">
        <v>2.19</v>
      </c>
      <c r="J14" s="4">
        <v>1.6379999999999999</v>
      </c>
      <c r="K14" s="4">
        <v>2.7309999999999999</v>
      </c>
      <c r="L14" s="5">
        <v>1.8</v>
      </c>
      <c r="M14" s="3" t="s">
        <v>22</v>
      </c>
      <c r="N14" s="3" t="s">
        <v>22</v>
      </c>
      <c r="O14" s="5">
        <v>1.8</v>
      </c>
      <c r="P14" s="2">
        <v>1.83</v>
      </c>
      <c r="Q14" s="89">
        <v>1.65</v>
      </c>
    </row>
    <row r="15" spans="1:19" x14ac:dyDescent="0.2">
      <c r="A15" s="88" t="s">
        <v>32</v>
      </c>
      <c r="B15" s="2">
        <v>1.1499999999999999</v>
      </c>
      <c r="C15" s="2">
        <v>0.45</v>
      </c>
      <c r="D15" s="2">
        <v>1.1399999999999999</v>
      </c>
      <c r="E15" s="2">
        <v>1.1100000000000001</v>
      </c>
      <c r="F15" s="2">
        <v>0.89</v>
      </c>
      <c r="G15" s="2">
        <v>1.1599999999999999</v>
      </c>
      <c r="H15" s="2">
        <v>1.1100000000000001</v>
      </c>
      <c r="I15" s="2">
        <v>2.21</v>
      </c>
      <c r="J15" s="4">
        <v>1.7390000000000001</v>
      </c>
      <c r="K15" s="4">
        <v>2.4780000000000002</v>
      </c>
      <c r="L15" s="2">
        <v>1.78</v>
      </c>
      <c r="M15" s="3" t="s">
        <v>22</v>
      </c>
      <c r="N15" s="3" t="s">
        <v>22</v>
      </c>
      <c r="O15" s="2">
        <v>1.85</v>
      </c>
      <c r="P15" s="2">
        <v>1.83</v>
      </c>
      <c r="Q15" s="89">
        <v>1.68</v>
      </c>
    </row>
    <row r="16" spans="1:19" x14ac:dyDescent="0.2">
      <c r="A16" s="88" t="s">
        <v>33</v>
      </c>
      <c r="B16" s="2">
        <v>1.1299999999999999</v>
      </c>
      <c r="C16" s="2">
        <v>0.41</v>
      </c>
      <c r="D16" s="2">
        <v>1.1299999999999999</v>
      </c>
      <c r="E16" s="5">
        <v>1.1000000000000001</v>
      </c>
      <c r="F16" s="2">
        <v>0.89</v>
      </c>
      <c r="G16" s="2">
        <v>1.1599999999999999</v>
      </c>
      <c r="H16" s="2">
        <v>1.1200000000000001</v>
      </c>
      <c r="I16" s="2">
        <v>2.27</v>
      </c>
      <c r="J16" s="4">
        <v>1.7769999999999999</v>
      </c>
      <c r="K16" s="4">
        <v>2.4</v>
      </c>
      <c r="L16" s="5">
        <v>1.83</v>
      </c>
      <c r="M16" s="3" t="s">
        <v>22</v>
      </c>
      <c r="N16" s="3" t="s">
        <v>22</v>
      </c>
      <c r="O16" s="2">
        <v>1.94</v>
      </c>
      <c r="P16" s="2">
        <v>1.92</v>
      </c>
      <c r="Q16" s="89">
        <v>1.75</v>
      </c>
    </row>
    <row r="17" spans="1:17" x14ac:dyDescent="0.2">
      <c r="A17" s="88" t="s">
        <v>34</v>
      </c>
      <c r="B17" s="7" t="s">
        <v>35</v>
      </c>
      <c r="C17" s="7" t="s">
        <v>35</v>
      </c>
      <c r="D17" s="2">
        <v>1.1100000000000001</v>
      </c>
      <c r="E17" s="2">
        <v>1.07</v>
      </c>
      <c r="F17" s="2">
        <v>0.88</v>
      </c>
      <c r="G17" s="2">
        <v>1.1599999999999999</v>
      </c>
      <c r="H17" s="2">
        <v>1.1200000000000001</v>
      </c>
      <c r="I17" s="2">
        <v>2.34</v>
      </c>
      <c r="J17" s="4">
        <v>1.83</v>
      </c>
      <c r="K17" s="4">
        <v>2.544</v>
      </c>
      <c r="L17" s="2">
        <v>1.83</v>
      </c>
      <c r="M17" s="3" t="s">
        <v>22</v>
      </c>
      <c r="N17" s="3" t="s">
        <v>22</v>
      </c>
      <c r="O17" s="2">
        <v>1.99</v>
      </c>
      <c r="P17" s="2">
        <v>1.97</v>
      </c>
      <c r="Q17" s="89">
        <v>1.88</v>
      </c>
    </row>
    <row r="18" spans="1:17" x14ac:dyDescent="0.2">
      <c r="A18" s="88" t="s">
        <v>36</v>
      </c>
      <c r="B18" s="2">
        <v>1.1100000000000001</v>
      </c>
      <c r="C18" s="2">
        <v>0.38</v>
      </c>
      <c r="D18" s="2">
        <v>1.1200000000000001</v>
      </c>
      <c r="E18" s="2">
        <v>1.06</v>
      </c>
      <c r="F18" s="2">
        <v>0.87</v>
      </c>
      <c r="G18" s="2">
        <v>1.17</v>
      </c>
      <c r="H18" s="2">
        <v>1.1299999999999999</v>
      </c>
      <c r="I18" s="2">
        <v>2.38</v>
      </c>
      <c r="J18" s="4">
        <v>1.964</v>
      </c>
      <c r="K18" s="4">
        <v>2.6779999999999999</v>
      </c>
      <c r="L18" s="5">
        <v>1.87</v>
      </c>
      <c r="M18" s="3" t="s">
        <v>22</v>
      </c>
      <c r="N18" s="3" t="s">
        <v>22</v>
      </c>
      <c r="O18" s="2">
        <v>1.99</v>
      </c>
      <c r="P18" s="2">
        <v>1.98</v>
      </c>
      <c r="Q18" s="89">
        <v>1.89</v>
      </c>
    </row>
    <row r="19" spans="1:17" x14ac:dyDescent="0.2">
      <c r="A19" s="88" t="s">
        <v>37</v>
      </c>
      <c r="B19" s="8">
        <v>1.1000000000000001</v>
      </c>
      <c r="C19" s="2">
        <v>0.38</v>
      </c>
      <c r="D19" s="5">
        <v>1.1000000000000001</v>
      </c>
      <c r="E19" s="2">
        <v>1.05</v>
      </c>
      <c r="F19" s="2">
        <v>0.87</v>
      </c>
      <c r="G19" s="2">
        <v>1.19</v>
      </c>
      <c r="H19" s="2">
        <v>1.1499999999999999</v>
      </c>
      <c r="I19" s="2">
        <v>2.42</v>
      </c>
      <c r="J19" s="4">
        <v>1.9630000000000001</v>
      </c>
      <c r="K19" s="4">
        <v>2.702</v>
      </c>
      <c r="L19" s="2">
        <v>1.89</v>
      </c>
      <c r="M19" s="3" t="s">
        <v>22</v>
      </c>
      <c r="N19" s="3" t="s">
        <v>22</v>
      </c>
      <c r="O19" s="5">
        <v>2</v>
      </c>
      <c r="P19" s="2">
        <v>1.99</v>
      </c>
      <c r="Q19" s="89">
        <v>1.91</v>
      </c>
    </row>
    <row r="20" spans="1:17" x14ac:dyDescent="0.2">
      <c r="A20" s="88" t="s">
        <v>38</v>
      </c>
      <c r="B20" s="6">
        <v>1.1000000000000001</v>
      </c>
      <c r="C20" s="2">
        <v>0.38</v>
      </c>
      <c r="D20" s="2">
        <v>1.08</v>
      </c>
      <c r="E20" s="2">
        <v>1.03</v>
      </c>
      <c r="F20" s="2">
        <v>0.85</v>
      </c>
      <c r="G20" s="2">
        <v>1.1599999999999999</v>
      </c>
      <c r="H20" s="2">
        <v>1.07</v>
      </c>
      <c r="I20" s="2">
        <v>2.4700000000000002</v>
      </c>
      <c r="J20" s="4">
        <v>2.0179999999999998</v>
      </c>
      <c r="K20" s="4">
        <v>2.7290000000000001</v>
      </c>
      <c r="L20" s="5">
        <v>1.94</v>
      </c>
      <c r="M20" s="3" t="s">
        <v>22</v>
      </c>
      <c r="N20" s="3" t="s">
        <v>22</v>
      </c>
      <c r="O20" s="2">
        <v>2.06</v>
      </c>
      <c r="P20" s="2">
        <v>2.04</v>
      </c>
      <c r="Q20" s="89">
        <v>1.93</v>
      </c>
    </row>
    <row r="21" spans="1:17" x14ac:dyDescent="0.2">
      <c r="A21" s="88" t="s">
        <v>39</v>
      </c>
      <c r="B21" s="2">
        <v>1.07</v>
      </c>
      <c r="C21" s="2">
        <v>0.36</v>
      </c>
      <c r="D21" s="2">
        <v>1.06</v>
      </c>
      <c r="E21" s="5">
        <v>1</v>
      </c>
      <c r="F21" s="2">
        <v>0.83</v>
      </c>
      <c r="G21" s="2">
        <v>1.1299999999999999</v>
      </c>
      <c r="H21" s="2">
        <v>1.06</v>
      </c>
      <c r="I21" s="2">
        <v>2.38</v>
      </c>
      <c r="J21" s="4">
        <v>1.9810000000000001</v>
      </c>
      <c r="K21" s="4">
        <v>2.5670000000000002</v>
      </c>
      <c r="L21" s="2">
        <v>1.94</v>
      </c>
      <c r="M21" s="3" t="s">
        <v>22</v>
      </c>
      <c r="N21" s="3" t="s">
        <v>22</v>
      </c>
      <c r="O21" s="2">
        <v>2.0099999999999998</v>
      </c>
      <c r="P21" s="2">
        <v>1.99</v>
      </c>
      <c r="Q21" s="89">
        <v>1.85</v>
      </c>
    </row>
    <row r="22" spans="1:17" x14ac:dyDescent="0.2">
      <c r="A22" s="88" t="s">
        <v>40</v>
      </c>
      <c r="B22" s="2">
        <v>1.02</v>
      </c>
      <c r="C22" s="2">
        <v>0.36</v>
      </c>
      <c r="D22" s="2">
        <v>1.05</v>
      </c>
      <c r="E22" s="2">
        <v>0.99</v>
      </c>
      <c r="F22" s="2">
        <v>0.83</v>
      </c>
      <c r="G22" s="2">
        <v>1.1399999999999999</v>
      </c>
      <c r="H22" s="2">
        <v>1.02</v>
      </c>
      <c r="I22" s="2">
        <v>2.42</v>
      </c>
      <c r="J22" s="4">
        <v>1.9810000000000001</v>
      </c>
      <c r="K22" s="4">
        <v>2.718</v>
      </c>
      <c r="L22" s="5">
        <v>1.89</v>
      </c>
      <c r="M22" s="3" t="s">
        <v>22</v>
      </c>
      <c r="N22" s="3" t="s">
        <v>22</v>
      </c>
      <c r="O22" s="2">
        <v>2.06</v>
      </c>
      <c r="P22" s="2">
        <v>2.04</v>
      </c>
      <c r="Q22" s="89">
        <v>1.88</v>
      </c>
    </row>
    <row r="23" spans="1:17" x14ac:dyDescent="0.2">
      <c r="A23" s="88" t="s">
        <v>41</v>
      </c>
      <c r="B23" s="2">
        <v>0.96</v>
      </c>
      <c r="C23" s="2">
        <v>0.32</v>
      </c>
      <c r="D23" s="2">
        <v>1.06</v>
      </c>
      <c r="E23" s="5">
        <v>1</v>
      </c>
      <c r="F23" s="2">
        <v>0.83</v>
      </c>
      <c r="G23" s="2">
        <v>1.19</v>
      </c>
      <c r="H23" s="2">
        <v>1.07</v>
      </c>
      <c r="I23" s="2">
        <v>2.46</v>
      </c>
      <c r="J23" s="4">
        <v>2.0369999999999999</v>
      </c>
      <c r="K23" s="4">
        <v>2.7010000000000001</v>
      </c>
      <c r="L23" s="2">
        <v>1.85</v>
      </c>
      <c r="M23" s="3" t="s">
        <v>22</v>
      </c>
      <c r="N23" s="3" t="s">
        <v>22</v>
      </c>
      <c r="O23" s="2">
        <v>2.14</v>
      </c>
      <c r="P23" s="2">
        <v>2.11</v>
      </c>
      <c r="Q23" s="89">
        <v>1.96</v>
      </c>
    </row>
    <row r="24" spans="1:17" x14ac:dyDescent="0.2">
      <c r="A24" s="88" t="s">
        <v>42</v>
      </c>
      <c r="B24" s="8">
        <v>0.95</v>
      </c>
      <c r="C24" s="8">
        <v>0.33</v>
      </c>
      <c r="D24" s="2">
        <v>1.08</v>
      </c>
      <c r="E24" s="2">
        <v>1.01</v>
      </c>
      <c r="F24" s="2">
        <v>0.84</v>
      </c>
      <c r="G24" s="2">
        <v>1.1100000000000001</v>
      </c>
      <c r="H24" s="2">
        <v>1.02</v>
      </c>
      <c r="I24" s="2">
        <v>2.5099999999999998</v>
      </c>
      <c r="J24" s="4">
        <v>2.0190000000000001</v>
      </c>
      <c r="K24" s="4">
        <v>2.5960000000000001</v>
      </c>
      <c r="L24" s="2">
        <v>1.88</v>
      </c>
      <c r="M24" s="3" t="s">
        <v>22</v>
      </c>
      <c r="N24" s="3" t="s">
        <v>22</v>
      </c>
      <c r="O24" s="2">
        <v>2.14</v>
      </c>
      <c r="P24" s="2">
        <v>2.11</v>
      </c>
      <c r="Q24" s="89">
        <v>1.95</v>
      </c>
    </row>
    <row r="25" spans="1:17" x14ac:dyDescent="0.2">
      <c r="A25" s="88" t="s">
        <v>43</v>
      </c>
      <c r="B25" s="2">
        <v>0.97</v>
      </c>
      <c r="C25" s="2">
        <v>0.37</v>
      </c>
      <c r="D25" s="5">
        <v>1.1000000000000001</v>
      </c>
      <c r="E25" s="5">
        <v>1.03</v>
      </c>
      <c r="F25" s="2">
        <v>0.85</v>
      </c>
      <c r="G25" s="2">
        <v>1.19</v>
      </c>
      <c r="H25" s="2">
        <v>1.0900000000000001</v>
      </c>
      <c r="I25" s="5">
        <v>2.6</v>
      </c>
      <c r="J25" s="4">
        <v>2.1080000000000001</v>
      </c>
      <c r="K25" s="4">
        <v>2.794</v>
      </c>
      <c r="L25" s="2">
        <v>1.87</v>
      </c>
      <c r="M25" s="3" t="s">
        <v>22</v>
      </c>
      <c r="N25" s="3" t="s">
        <v>22</v>
      </c>
      <c r="O25" s="5">
        <v>2.2000000000000002</v>
      </c>
      <c r="P25" s="2">
        <v>2.17</v>
      </c>
      <c r="Q25" s="89">
        <v>2.02</v>
      </c>
    </row>
    <row r="26" spans="1:17" x14ac:dyDescent="0.2">
      <c r="A26" s="88" t="s">
        <v>44</v>
      </c>
      <c r="B26" s="2">
        <v>0.96</v>
      </c>
      <c r="C26" s="5">
        <v>0.4</v>
      </c>
      <c r="D26" s="2">
        <v>1.1100000000000001</v>
      </c>
      <c r="E26" s="2">
        <v>1.04</v>
      </c>
      <c r="F26" s="2">
        <v>0.87</v>
      </c>
      <c r="G26" s="2">
        <v>1.29</v>
      </c>
      <c r="H26" s="2">
        <v>1.21</v>
      </c>
      <c r="I26" s="2">
        <v>2.69</v>
      </c>
      <c r="J26" s="4">
        <v>2.1280000000000001</v>
      </c>
      <c r="K26" s="4">
        <v>2.92</v>
      </c>
      <c r="L26" s="2">
        <v>1.86</v>
      </c>
      <c r="M26" s="3" t="s">
        <v>22</v>
      </c>
      <c r="N26" s="3" t="s">
        <v>22</v>
      </c>
      <c r="O26" s="2">
        <v>2.21</v>
      </c>
      <c r="P26" s="2">
        <v>2.19</v>
      </c>
      <c r="Q26" s="89">
        <v>2.0499999999999998</v>
      </c>
    </row>
    <row r="27" spans="1:17" x14ac:dyDescent="0.2">
      <c r="A27" s="88" t="s">
        <v>45</v>
      </c>
      <c r="B27" s="2">
        <v>0.94</v>
      </c>
      <c r="C27" s="5">
        <v>0.4</v>
      </c>
      <c r="D27" s="2">
        <v>1.1200000000000001</v>
      </c>
      <c r="E27" s="2">
        <v>1.06</v>
      </c>
      <c r="F27" s="2">
        <v>0.89</v>
      </c>
      <c r="G27" s="2">
        <v>1.31</v>
      </c>
      <c r="H27" s="2">
        <v>1.23</v>
      </c>
      <c r="I27" s="2">
        <v>2.76</v>
      </c>
      <c r="J27" s="4">
        <v>2.2160000000000002</v>
      </c>
      <c r="K27" s="4">
        <v>3.0409999999999999</v>
      </c>
      <c r="L27" s="2">
        <v>1.81</v>
      </c>
      <c r="M27" s="3" t="s">
        <v>22</v>
      </c>
      <c r="N27" s="3" t="s">
        <v>22</v>
      </c>
      <c r="O27" s="2">
        <v>2.2799999999999998</v>
      </c>
      <c r="P27" s="2">
        <v>2.2599999999999998</v>
      </c>
      <c r="Q27" s="89">
        <v>2.15</v>
      </c>
    </row>
    <row r="28" spans="1:17" x14ac:dyDescent="0.2">
      <c r="A28" s="88" t="s">
        <v>46</v>
      </c>
      <c r="B28" s="2">
        <v>0.94</v>
      </c>
      <c r="C28" s="5">
        <v>0.34</v>
      </c>
      <c r="D28" s="2">
        <v>1.1299999999999999</v>
      </c>
      <c r="E28" s="2">
        <v>1.06</v>
      </c>
      <c r="F28" s="2">
        <v>0.91</v>
      </c>
      <c r="G28" s="2">
        <v>1.32</v>
      </c>
      <c r="H28" s="2">
        <v>1.25</v>
      </c>
      <c r="I28" s="2">
        <v>2.74</v>
      </c>
      <c r="J28" s="4">
        <v>2.153</v>
      </c>
      <c r="K28" s="4">
        <v>2.871</v>
      </c>
      <c r="L28" s="5">
        <v>1.8</v>
      </c>
      <c r="M28" s="3" t="s">
        <v>22</v>
      </c>
      <c r="N28" s="3" t="s">
        <v>22</v>
      </c>
      <c r="O28" s="2">
        <v>2.31</v>
      </c>
      <c r="P28" s="5">
        <v>2.2999999999999998</v>
      </c>
      <c r="Q28" s="89">
        <v>2.17</v>
      </c>
    </row>
    <row r="29" spans="1:17" x14ac:dyDescent="0.2">
      <c r="A29" s="88" t="s">
        <v>47</v>
      </c>
      <c r="B29" s="2">
        <v>0.98</v>
      </c>
      <c r="C29" s="2">
        <v>0.41</v>
      </c>
      <c r="D29" s="2">
        <v>1.1299999999999999</v>
      </c>
      <c r="E29" s="2">
        <v>1.06</v>
      </c>
      <c r="F29" s="5">
        <v>0.9</v>
      </c>
      <c r="G29" s="2">
        <v>1.34</v>
      </c>
      <c r="H29" s="2">
        <v>1.26</v>
      </c>
      <c r="I29" s="2">
        <v>2.73</v>
      </c>
      <c r="J29" s="4">
        <v>2.1309999999999998</v>
      </c>
      <c r="K29" s="4">
        <v>2.944</v>
      </c>
      <c r="L29" s="5">
        <v>1.8</v>
      </c>
      <c r="M29" s="3" t="s">
        <v>22</v>
      </c>
      <c r="N29" s="3" t="s">
        <v>22</v>
      </c>
      <c r="O29" s="2">
        <v>2.2799999999999998</v>
      </c>
      <c r="P29" s="2">
        <v>2.2599999999999998</v>
      </c>
      <c r="Q29" s="89">
        <v>2.11</v>
      </c>
    </row>
    <row r="30" spans="1:17" x14ac:dyDescent="0.2">
      <c r="A30" s="88" t="s">
        <v>48</v>
      </c>
      <c r="B30" s="2">
        <v>0.95</v>
      </c>
      <c r="C30" s="5">
        <v>0.42</v>
      </c>
      <c r="D30" s="2">
        <v>1.1299999999999999</v>
      </c>
      <c r="E30" s="2">
        <v>1.06</v>
      </c>
      <c r="F30" s="2">
        <v>0.84</v>
      </c>
      <c r="G30" s="2">
        <v>1.36</v>
      </c>
      <c r="H30" s="2">
        <v>1.26</v>
      </c>
      <c r="I30" s="2">
        <v>2.78</v>
      </c>
      <c r="J30" s="4">
        <v>2.153</v>
      </c>
      <c r="K30" s="4">
        <v>2.871</v>
      </c>
      <c r="L30" s="5">
        <v>1.8</v>
      </c>
      <c r="M30" s="3" t="s">
        <v>22</v>
      </c>
      <c r="N30" s="3" t="s">
        <v>22</v>
      </c>
      <c r="O30" s="2">
        <v>2.33</v>
      </c>
      <c r="P30" s="5">
        <v>2.2999999999999998</v>
      </c>
      <c r="Q30" s="89">
        <v>2.17</v>
      </c>
    </row>
    <row r="31" spans="1:17" x14ac:dyDescent="0.2">
      <c r="A31" s="88" t="s">
        <v>49</v>
      </c>
      <c r="B31" s="2">
        <v>0.97</v>
      </c>
      <c r="C31" s="2">
        <v>0.42</v>
      </c>
      <c r="D31" s="2">
        <v>1.1299999999999999</v>
      </c>
      <c r="E31" s="2">
        <v>1.06</v>
      </c>
      <c r="F31" s="2">
        <v>0.84</v>
      </c>
      <c r="G31" s="2">
        <v>1.35</v>
      </c>
      <c r="H31" s="2">
        <v>1.23</v>
      </c>
      <c r="I31" s="2">
        <v>2.79</v>
      </c>
      <c r="J31" s="4">
        <v>2.2050000000000001</v>
      </c>
      <c r="K31" s="4">
        <v>2.9740000000000002</v>
      </c>
      <c r="L31" s="2">
        <v>1.83</v>
      </c>
      <c r="M31" s="3" t="s">
        <v>22</v>
      </c>
      <c r="N31" s="3" t="s">
        <v>22</v>
      </c>
      <c r="O31" s="2">
        <v>2.35</v>
      </c>
      <c r="P31" s="2">
        <v>2.3199999999999998</v>
      </c>
      <c r="Q31" s="89">
        <v>2.23</v>
      </c>
    </row>
    <row r="32" spans="1:17" x14ac:dyDescent="0.2">
      <c r="A32" s="88" t="s">
        <v>50</v>
      </c>
      <c r="B32" s="2">
        <v>0.99</v>
      </c>
      <c r="C32" s="5">
        <v>0.43</v>
      </c>
      <c r="D32" s="2">
        <v>1.1299999999999999</v>
      </c>
      <c r="E32" s="2">
        <v>1.06</v>
      </c>
      <c r="F32" s="2">
        <v>0.84</v>
      </c>
      <c r="G32" s="2">
        <v>1.39</v>
      </c>
      <c r="H32" s="2">
        <v>1.27</v>
      </c>
      <c r="I32" s="2">
        <v>2.74</v>
      </c>
      <c r="J32" s="4">
        <v>2.16</v>
      </c>
      <c r="K32" s="4">
        <v>2.9140000000000001</v>
      </c>
      <c r="L32" s="5">
        <v>1.8</v>
      </c>
      <c r="M32" s="3" t="s">
        <v>22</v>
      </c>
      <c r="N32" s="3" t="s">
        <v>22</v>
      </c>
      <c r="O32" s="2">
        <v>2.29</v>
      </c>
      <c r="P32" s="5">
        <v>2.27</v>
      </c>
      <c r="Q32" s="89">
        <v>2.15</v>
      </c>
    </row>
    <row r="33" spans="1:17" x14ac:dyDescent="0.2">
      <c r="A33" s="88" t="s">
        <v>51</v>
      </c>
      <c r="B33" s="2">
        <v>0.96</v>
      </c>
      <c r="C33" s="2">
        <v>0.43</v>
      </c>
      <c r="D33" s="2">
        <v>1.17</v>
      </c>
      <c r="E33" s="2">
        <v>1.0900000000000001</v>
      </c>
      <c r="F33" s="2">
        <v>0.89</v>
      </c>
      <c r="G33" s="2">
        <v>1.43</v>
      </c>
      <c r="H33" s="5">
        <v>1.3</v>
      </c>
      <c r="I33" s="2">
        <v>2.83</v>
      </c>
      <c r="J33" s="4">
        <v>2.0720000000000001</v>
      </c>
      <c r="K33" s="4">
        <v>3.0049999999999999</v>
      </c>
      <c r="L33" s="2">
        <v>1.84</v>
      </c>
      <c r="M33" s="3" t="s">
        <v>22</v>
      </c>
      <c r="N33" s="3" t="s">
        <v>22</v>
      </c>
      <c r="O33" s="2">
        <v>2.35</v>
      </c>
      <c r="P33" s="2">
        <v>2.33</v>
      </c>
      <c r="Q33" s="89">
        <v>2.23</v>
      </c>
    </row>
    <row r="34" spans="1:17" x14ac:dyDescent="0.2">
      <c r="A34" s="88" t="s">
        <v>52</v>
      </c>
      <c r="B34" s="2">
        <v>0.97</v>
      </c>
      <c r="C34" s="5">
        <v>0.44</v>
      </c>
      <c r="D34" s="2">
        <v>1.18</v>
      </c>
      <c r="E34" s="2">
        <v>1.1100000000000001</v>
      </c>
      <c r="F34" s="5">
        <v>0.9</v>
      </c>
      <c r="G34" s="2">
        <v>1.44</v>
      </c>
      <c r="H34" s="2">
        <v>1.31</v>
      </c>
      <c r="I34" s="5">
        <v>2.8</v>
      </c>
      <c r="J34" s="4">
        <v>2.169</v>
      </c>
      <c r="K34" s="4">
        <v>3.016</v>
      </c>
      <c r="L34" s="5">
        <v>1.84</v>
      </c>
      <c r="M34" s="3" t="s">
        <v>22</v>
      </c>
      <c r="N34" s="3" t="s">
        <v>22</v>
      </c>
      <c r="O34" s="2">
        <v>2.42</v>
      </c>
      <c r="P34" s="5">
        <v>2.42</v>
      </c>
      <c r="Q34" s="89">
        <v>2.2799999999999998</v>
      </c>
    </row>
    <row r="35" spans="1:17" x14ac:dyDescent="0.2">
      <c r="A35" s="88" t="s">
        <v>53</v>
      </c>
      <c r="B35" s="2">
        <v>0.97</v>
      </c>
      <c r="C35" s="2">
        <v>0.51</v>
      </c>
      <c r="D35" s="2">
        <v>1.18</v>
      </c>
      <c r="E35" s="5">
        <v>1.1000000000000001</v>
      </c>
      <c r="F35" s="5">
        <v>0.9</v>
      </c>
      <c r="G35" s="2">
        <v>1.48</v>
      </c>
      <c r="H35" s="2">
        <v>1.38</v>
      </c>
      <c r="I35" s="2">
        <v>2.82</v>
      </c>
      <c r="J35" s="4">
        <v>2.246</v>
      </c>
      <c r="K35" s="4">
        <v>3.1019999999999999</v>
      </c>
      <c r="L35" s="2">
        <v>1.81</v>
      </c>
      <c r="M35" s="3" t="s">
        <v>22</v>
      </c>
      <c r="N35" s="3" t="s">
        <v>22</v>
      </c>
      <c r="O35" s="2">
        <v>2.42</v>
      </c>
      <c r="P35" s="5">
        <v>2.42</v>
      </c>
      <c r="Q35" s="89">
        <v>2.31</v>
      </c>
    </row>
    <row r="36" spans="1:17" x14ac:dyDescent="0.2">
      <c r="A36" s="88" t="s">
        <v>54</v>
      </c>
      <c r="B36" s="2">
        <v>0.99</v>
      </c>
      <c r="C36" s="2">
        <v>0.52</v>
      </c>
      <c r="D36" s="2">
        <v>1.18</v>
      </c>
      <c r="E36" s="5">
        <v>1.1000000000000001</v>
      </c>
      <c r="F36" s="5">
        <v>0.9</v>
      </c>
      <c r="G36" s="2">
        <v>1.47</v>
      </c>
      <c r="H36" s="2">
        <v>1.37</v>
      </c>
      <c r="I36" s="2">
        <v>2.77</v>
      </c>
      <c r="J36" s="4">
        <v>2.1859999999999999</v>
      </c>
      <c r="K36" s="4">
        <v>3.1150000000000002</v>
      </c>
      <c r="L36" s="2">
        <v>1.79</v>
      </c>
      <c r="M36" s="3" t="s">
        <v>22</v>
      </c>
      <c r="N36" s="3" t="s">
        <v>22</v>
      </c>
      <c r="O36" s="2">
        <v>2.5299999999999998</v>
      </c>
      <c r="P36" s="5">
        <v>2.5</v>
      </c>
      <c r="Q36" s="89">
        <v>2.35</v>
      </c>
    </row>
    <row r="37" spans="1:17" x14ac:dyDescent="0.2">
      <c r="A37" s="88" t="s">
        <v>55</v>
      </c>
      <c r="B37" s="2">
        <v>0.99</v>
      </c>
      <c r="C37" s="2">
        <v>0.52</v>
      </c>
      <c r="D37" s="2">
        <v>1.17</v>
      </c>
      <c r="E37" s="2">
        <v>1.0900000000000001</v>
      </c>
      <c r="F37" s="5">
        <v>0.9</v>
      </c>
      <c r="G37" s="2">
        <v>1.41</v>
      </c>
      <c r="H37" s="2">
        <v>1.34</v>
      </c>
      <c r="I37" s="2">
        <v>2.88</v>
      </c>
      <c r="J37" s="4">
        <v>2.1309999999999998</v>
      </c>
      <c r="K37" s="4">
        <v>3.169</v>
      </c>
      <c r="L37" s="2">
        <v>1.81</v>
      </c>
      <c r="M37" s="3" t="s">
        <v>22</v>
      </c>
      <c r="N37" s="3" t="s">
        <v>22</v>
      </c>
      <c r="O37" s="2">
        <v>2.48</v>
      </c>
      <c r="P37" s="5">
        <v>2.46</v>
      </c>
      <c r="Q37" s="89">
        <v>2.36</v>
      </c>
    </row>
    <row r="38" spans="1:17" x14ac:dyDescent="0.2">
      <c r="A38" s="88" t="s">
        <v>56</v>
      </c>
      <c r="B38" s="2">
        <v>0.97</v>
      </c>
      <c r="C38" s="2">
        <v>0.51</v>
      </c>
      <c r="D38" s="2">
        <v>1.1599999999999999</v>
      </c>
      <c r="E38" s="2">
        <v>1.08</v>
      </c>
      <c r="F38" s="5">
        <v>0.9</v>
      </c>
      <c r="G38" s="5">
        <v>1.4</v>
      </c>
      <c r="H38" s="2">
        <v>1.33</v>
      </c>
      <c r="I38" s="2">
        <v>2.71</v>
      </c>
      <c r="J38" s="4">
        <v>2.0590000000000002</v>
      </c>
      <c r="K38" s="4">
        <v>3.1549999999999998</v>
      </c>
      <c r="L38" s="2">
        <v>1.83</v>
      </c>
      <c r="M38" s="3" t="s">
        <v>22</v>
      </c>
      <c r="N38" s="3" t="s">
        <v>22</v>
      </c>
      <c r="O38" s="2">
        <v>2.46</v>
      </c>
      <c r="P38" s="2">
        <v>2.4500000000000002</v>
      </c>
      <c r="Q38" s="89">
        <v>2.37</v>
      </c>
    </row>
    <row r="39" spans="1:17" x14ac:dyDescent="0.2">
      <c r="A39" s="88" t="s">
        <v>57</v>
      </c>
      <c r="B39" s="5">
        <v>1</v>
      </c>
      <c r="C39" s="2">
        <v>0.54</v>
      </c>
      <c r="D39" s="2">
        <v>1.1499999999999999</v>
      </c>
      <c r="E39" s="2">
        <v>1.08</v>
      </c>
      <c r="F39" s="2">
        <v>0.89</v>
      </c>
      <c r="G39" s="2">
        <v>1.38</v>
      </c>
      <c r="H39" s="2">
        <v>1.24</v>
      </c>
      <c r="I39" s="2">
        <v>2.67</v>
      </c>
      <c r="J39" s="4">
        <v>2.1800000000000002</v>
      </c>
      <c r="K39" s="4">
        <v>3.19</v>
      </c>
      <c r="L39" s="2">
        <v>1.86</v>
      </c>
      <c r="M39" s="3" t="s">
        <v>22</v>
      </c>
      <c r="N39" s="3" t="s">
        <v>22</v>
      </c>
      <c r="O39" s="2">
        <v>2.46</v>
      </c>
      <c r="P39" s="2">
        <v>2.4500000000000002</v>
      </c>
      <c r="Q39" s="90">
        <v>2.4</v>
      </c>
    </row>
    <row r="40" spans="1:17" x14ac:dyDescent="0.2">
      <c r="A40" s="88" t="s">
        <v>58</v>
      </c>
      <c r="B40" s="3" t="s">
        <v>35</v>
      </c>
      <c r="C40" s="3" t="s">
        <v>35</v>
      </c>
      <c r="D40" s="2">
        <v>1.1499999999999999</v>
      </c>
      <c r="E40" s="2">
        <v>1.08</v>
      </c>
      <c r="F40" s="2">
        <v>0.89</v>
      </c>
      <c r="G40" s="2">
        <v>1.37</v>
      </c>
      <c r="H40" s="2">
        <v>1.24</v>
      </c>
      <c r="I40" s="5">
        <v>2.69</v>
      </c>
      <c r="J40" s="4">
        <v>2.0099999999999998</v>
      </c>
      <c r="K40" s="4">
        <v>3.26</v>
      </c>
      <c r="L40" s="2">
        <v>1.85</v>
      </c>
      <c r="M40" s="3" t="s">
        <v>22</v>
      </c>
      <c r="N40" s="3" t="s">
        <v>22</v>
      </c>
      <c r="O40" s="2">
        <v>2.48</v>
      </c>
      <c r="P40" s="2">
        <v>2.46</v>
      </c>
      <c r="Q40" s="89">
        <v>2.4300000000000002</v>
      </c>
    </row>
    <row r="41" spans="1:17" x14ac:dyDescent="0.2">
      <c r="A41" s="88" t="s">
        <v>59</v>
      </c>
      <c r="B41" s="2">
        <v>1.03</v>
      </c>
      <c r="C41" s="5">
        <v>0.6</v>
      </c>
      <c r="D41" s="2">
        <v>1.1599999999999999</v>
      </c>
      <c r="E41" s="2">
        <v>1.0900000000000001</v>
      </c>
      <c r="F41" s="5">
        <v>0.89</v>
      </c>
      <c r="G41" s="2">
        <v>1.38</v>
      </c>
      <c r="H41" s="2">
        <v>1.28</v>
      </c>
      <c r="I41" s="5">
        <v>2.76</v>
      </c>
      <c r="J41" s="4">
        <v>2.1</v>
      </c>
      <c r="K41" s="4">
        <v>3.37</v>
      </c>
      <c r="L41" s="2">
        <v>1.85</v>
      </c>
      <c r="M41" s="3" t="s">
        <v>22</v>
      </c>
      <c r="N41" s="3" t="s">
        <v>22</v>
      </c>
      <c r="O41" s="2">
        <v>2.54</v>
      </c>
      <c r="P41" s="2">
        <v>2.52</v>
      </c>
      <c r="Q41" s="89">
        <v>2.4900000000000002</v>
      </c>
    </row>
    <row r="42" spans="1:17" x14ac:dyDescent="0.2">
      <c r="A42" s="88" t="s">
        <v>60</v>
      </c>
      <c r="B42" s="2">
        <v>0.98</v>
      </c>
      <c r="C42" s="5">
        <v>0.6</v>
      </c>
      <c r="D42" s="2">
        <v>1.1599999999999999</v>
      </c>
      <c r="E42" s="2">
        <v>1.0900000000000001</v>
      </c>
      <c r="F42" s="2">
        <v>0.91</v>
      </c>
      <c r="G42" s="2">
        <v>1.45</v>
      </c>
      <c r="H42" s="2">
        <v>1.28</v>
      </c>
      <c r="I42" s="5">
        <v>2.8029999999999999</v>
      </c>
      <c r="J42" s="4">
        <v>2.21</v>
      </c>
      <c r="K42" s="4">
        <v>3.48</v>
      </c>
      <c r="L42" s="2">
        <v>1.84</v>
      </c>
      <c r="M42" s="3" t="s">
        <v>22</v>
      </c>
      <c r="N42" s="3" t="s">
        <v>22</v>
      </c>
      <c r="O42" s="2">
        <v>2.57</v>
      </c>
      <c r="P42" s="2">
        <v>2.59</v>
      </c>
      <c r="Q42" s="89">
        <v>2.54</v>
      </c>
    </row>
    <row r="43" spans="1:17" x14ac:dyDescent="0.2">
      <c r="A43" s="88" t="s">
        <v>61</v>
      </c>
      <c r="B43" s="2">
        <v>0.99</v>
      </c>
      <c r="C43" s="2">
        <v>0.59</v>
      </c>
      <c r="D43" s="2">
        <v>1.18</v>
      </c>
      <c r="E43" s="2">
        <v>1.1100000000000001</v>
      </c>
      <c r="F43" s="2">
        <v>0.92</v>
      </c>
      <c r="G43" s="2">
        <v>1.45</v>
      </c>
      <c r="H43" s="2">
        <v>1.27</v>
      </c>
      <c r="I43" s="5">
        <v>2.89</v>
      </c>
      <c r="J43" s="4">
        <v>2.2200000000000002</v>
      </c>
      <c r="K43" s="4">
        <v>3.56</v>
      </c>
      <c r="L43" s="2">
        <v>1.84</v>
      </c>
      <c r="M43" s="3" t="s">
        <v>22</v>
      </c>
      <c r="N43" s="3" t="s">
        <v>22</v>
      </c>
      <c r="O43" s="2">
        <v>2.56</v>
      </c>
      <c r="P43" s="2">
        <v>2.56</v>
      </c>
      <c r="Q43" s="89">
        <v>2.4700000000000002</v>
      </c>
    </row>
    <row r="44" spans="1:17" x14ac:dyDescent="0.2">
      <c r="A44" s="88" t="s">
        <v>62</v>
      </c>
      <c r="B44" s="2">
        <v>0.99</v>
      </c>
      <c r="C44" s="2">
        <v>0.64</v>
      </c>
      <c r="D44" s="2">
        <v>1.17</v>
      </c>
      <c r="E44" s="5">
        <v>1.1000000000000001</v>
      </c>
      <c r="F44" s="2">
        <v>0.92</v>
      </c>
      <c r="G44" s="2">
        <v>1.44</v>
      </c>
      <c r="H44" s="2">
        <v>1.28</v>
      </c>
      <c r="I44" s="2">
        <v>2.91</v>
      </c>
      <c r="J44" s="4">
        <v>2.25</v>
      </c>
      <c r="K44" s="4">
        <v>3.65</v>
      </c>
      <c r="L44" s="2">
        <v>1.81</v>
      </c>
      <c r="M44" s="3" t="s">
        <v>22</v>
      </c>
      <c r="N44" s="3" t="s">
        <v>22</v>
      </c>
      <c r="O44" s="2">
        <v>2.57</v>
      </c>
      <c r="P44" s="2">
        <v>2.56</v>
      </c>
      <c r="Q44" s="89">
        <v>2.4700000000000002</v>
      </c>
    </row>
    <row r="45" spans="1:17" x14ac:dyDescent="0.2">
      <c r="A45" s="88" t="s">
        <v>63</v>
      </c>
      <c r="B45" s="5">
        <v>1</v>
      </c>
      <c r="C45" s="2">
        <v>0.63</v>
      </c>
      <c r="D45" s="2">
        <v>1.17</v>
      </c>
      <c r="E45" s="5">
        <v>1.1000000000000001</v>
      </c>
      <c r="F45" s="2">
        <v>0.92</v>
      </c>
      <c r="G45" s="2">
        <v>1.43</v>
      </c>
      <c r="H45" s="2">
        <v>1.27</v>
      </c>
      <c r="I45" s="5">
        <v>2.96</v>
      </c>
      <c r="J45" s="4">
        <v>2.2000000000000002</v>
      </c>
      <c r="K45" s="4">
        <v>3.6</v>
      </c>
      <c r="L45" s="2">
        <v>1.78</v>
      </c>
      <c r="M45" s="3" t="s">
        <v>22</v>
      </c>
      <c r="N45" s="3" t="s">
        <v>22</v>
      </c>
      <c r="O45" s="2">
        <v>2.62</v>
      </c>
      <c r="P45" s="5">
        <v>2.6</v>
      </c>
      <c r="Q45" s="89">
        <v>2.4500000000000002</v>
      </c>
    </row>
    <row r="46" spans="1:17" x14ac:dyDescent="0.2">
      <c r="A46" s="88" t="s">
        <v>64</v>
      </c>
      <c r="B46" s="5">
        <v>1</v>
      </c>
      <c r="C46" s="2">
        <v>0.63</v>
      </c>
      <c r="D46" s="2">
        <v>1.18</v>
      </c>
      <c r="E46" s="5">
        <v>1.1000000000000001</v>
      </c>
      <c r="F46" s="2">
        <v>0.98</v>
      </c>
      <c r="G46" s="2">
        <v>1.42</v>
      </c>
      <c r="H46" s="2">
        <v>1.28</v>
      </c>
      <c r="I46" s="2">
        <v>2.98</v>
      </c>
      <c r="J46" s="4">
        <v>2.16</v>
      </c>
      <c r="K46" s="4">
        <v>3.74</v>
      </c>
      <c r="L46" s="2">
        <v>1.82</v>
      </c>
      <c r="M46" s="3" t="s">
        <v>22</v>
      </c>
      <c r="N46" s="3" t="s">
        <v>22</v>
      </c>
      <c r="O46" s="2">
        <v>2.67</v>
      </c>
      <c r="P46" s="2">
        <v>2.64</v>
      </c>
      <c r="Q46" s="89">
        <v>2.4300000000000002</v>
      </c>
    </row>
    <row r="47" spans="1:17" x14ac:dyDescent="0.2">
      <c r="A47" s="88" t="s">
        <v>65</v>
      </c>
      <c r="B47" s="2">
        <v>1.05</v>
      </c>
      <c r="C47" s="2">
        <v>0.64</v>
      </c>
      <c r="D47" s="2">
        <v>1.18</v>
      </c>
      <c r="E47" s="5">
        <v>1.1100000000000001</v>
      </c>
      <c r="F47" s="2">
        <v>0.97</v>
      </c>
      <c r="G47" s="2">
        <v>1.42</v>
      </c>
      <c r="H47" s="2">
        <v>1.28</v>
      </c>
      <c r="I47" s="5">
        <v>2.9239999999999999</v>
      </c>
      <c r="J47" s="4">
        <v>2.02</v>
      </c>
      <c r="K47" s="4">
        <v>3.64</v>
      </c>
      <c r="L47" s="2">
        <v>1.86</v>
      </c>
      <c r="M47" s="3" t="s">
        <v>22</v>
      </c>
      <c r="N47" s="3" t="s">
        <v>22</v>
      </c>
      <c r="O47" s="2">
        <v>2.67</v>
      </c>
      <c r="P47" s="2">
        <v>2.64</v>
      </c>
      <c r="Q47" s="89">
        <v>2.57</v>
      </c>
    </row>
    <row r="48" spans="1:17" x14ac:dyDescent="0.2">
      <c r="A48" s="88" t="s">
        <v>66</v>
      </c>
      <c r="B48" s="2">
        <v>1.04</v>
      </c>
      <c r="C48" s="2">
        <v>0.56999999999999995</v>
      </c>
      <c r="D48" s="2">
        <v>1.17</v>
      </c>
      <c r="E48" s="5">
        <v>1.1000000000000001</v>
      </c>
      <c r="F48" s="2">
        <v>0.96</v>
      </c>
      <c r="G48" s="5">
        <v>1.4</v>
      </c>
      <c r="H48" s="2">
        <v>1.22</v>
      </c>
      <c r="I48" s="5">
        <v>2.8</v>
      </c>
      <c r="J48" s="4">
        <v>2</v>
      </c>
      <c r="K48" s="4">
        <v>3.58</v>
      </c>
      <c r="L48" s="2">
        <v>1.92</v>
      </c>
      <c r="M48" s="3" t="s">
        <v>22</v>
      </c>
      <c r="N48" s="3" t="s">
        <v>22</v>
      </c>
      <c r="O48" s="2">
        <v>2.59</v>
      </c>
      <c r="P48" s="2">
        <v>2.54</v>
      </c>
      <c r="Q48" s="89">
        <v>2.23</v>
      </c>
    </row>
    <row r="49" spans="1:17" x14ac:dyDescent="0.2">
      <c r="A49" s="88" t="s">
        <v>67</v>
      </c>
      <c r="B49" s="2">
        <v>1.06</v>
      </c>
      <c r="C49" s="2">
        <v>0.57999999999999996</v>
      </c>
      <c r="D49" s="2">
        <v>1.1499999999999999</v>
      </c>
      <c r="E49" s="2">
        <v>1.0900000000000001</v>
      </c>
      <c r="F49" s="2">
        <v>0.95</v>
      </c>
      <c r="G49" s="2">
        <v>1.38</v>
      </c>
      <c r="H49" s="2">
        <v>1.25</v>
      </c>
      <c r="I49" s="5">
        <v>2.8620000000000001</v>
      </c>
      <c r="J49" s="4">
        <v>2.15</v>
      </c>
      <c r="K49" s="4">
        <v>3.72</v>
      </c>
      <c r="L49" s="5">
        <v>1.9</v>
      </c>
      <c r="M49" s="3" t="s">
        <v>22</v>
      </c>
      <c r="N49" s="3" t="s">
        <v>22</v>
      </c>
      <c r="O49" s="2">
        <v>2.64</v>
      </c>
      <c r="P49" s="2">
        <v>2.59</v>
      </c>
      <c r="Q49" s="89">
        <v>2.1800000000000002</v>
      </c>
    </row>
    <row r="50" spans="1:17" x14ac:dyDescent="0.2">
      <c r="A50" s="88" t="s">
        <v>68</v>
      </c>
      <c r="B50" s="2">
        <v>1.05</v>
      </c>
      <c r="C50" s="2">
        <v>0.64</v>
      </c>
      <c r="D50" s="2">
        <v>1.1399999999999999</v>
      </c>
      <c r="E50" s="2">
        <v>1.08</v>
      </c>
      <c r="F50" s="2">
        <v>0.95</v>
      </c>
      <c r="G50" s="2">
        <v>1.37</v>
      </c>
      <c r="H50" s="2">
        <v>1.24</v>
      </c>
      <c r="I50" s="5">
        <v>2.835</v>
      </c>
      <c r="J50" s="4">
        <v>1.9770000000000001</v>
      </c>
      <c r="K50" s="4">
        <v>3.6339999999999999</v>
      </c>
      <c r="L50" s="2">
        <v>1.84</v>
      </c>
      <c r="M50" s="3" t="s">
        <v>22</v>
      </c>
      <c r="N50" s="3" t="s">
        <v>22</v>
      </c>
      <c r="O50" s="2">
        <v>2.76</v>
      </c>
      <c r="P50" s="2">
        <v>2.62</v>
      </c>
      <c r="Q50" s="89">
        <v>2.2400000000000002</v>
      </c>
    </row>
    <row r="51" spans="1:17" x14ac:dyDescent="0.2">
      <c r="A51" s="88" t="s">
        <v>69</v>
      </c>
      <c r="B51" s="2">
        <v>1.04</v>
      </c>
      <c r="C51" s="2">
        <v>0.62</v>
      </c>
      <c r="D51" s="2">
        <v>1.1399999999999999</v>
      </c>
      <c r="E51" s="5">
        <v>1.08</v>
      </c>
      <c r="F51" s="2">
        <v>0.95</v>
      </c>
      <c r="G51" s="2">
        <v>1.36</v>
      </c>
      <c r="H51" s="5">
        <v>1.2</v>
      </c>
      <c r="I51" s="5">
        <v>2.82</v>
      </c>
      <c r="J51" s="4">
        <v>1.91</v>
      </c>
      <c r="K51" s="4">
        <v>3.53</v>
      </c>
      <c r="L51" s="2">
        <v>1.82</v>
      </c>
      <c r="M51" s="3" t="s">
        <v>22</v>
      </c>
      <c r="N51" s="3" t="s">
        <v>22</v>
      </c>
      <c r="O51" s="2">
        <v>2.62</v>
      </c>
      <c r="P51" s="2">
        <v>2.59</v>
      </c>
      <c r="Q51" s="89">
        <v>2.25</v>
      </c>
    </row>
    <row r="52" spans="1:17" x14ac:dyDescent="0.2">
      <c r="A52" s="88" t="s">
        <v>70</v>
      </c>
      <c r="B52" s="5">
        <v>1.1000000000000001</v>
      </c>
      <c r="C52" s="2">
        <v>0.63</v>
      </c>
      <c r="D52" s="2">
        <v>1.1399999999999999</v>
      </c>
      <c r="E52" s="5">
        <v>1.08</v>
      </c>
      <c r="F52" s="2">
        <v>0.95</v>
      </c>
      <c r="G52" s="2">
        <v>1.45</v>
      </c>
      <c r="H52" s="2">
        <v>1.36</v>
      </c>
      <c r="I52" s="2">
        <v>2.75</v>
      </c>
      <c r="J52" s="4">
        <v>1.78</v>
      </c>
      <c r="K52" s="4">
        <v>3.62</v>
      </c>
      <c r="L52" s="2">
        <v>1.83</v>
      </c>
      <c r="M52" s="3" t="s">
        <v>22</v>
      </c>
      <c r="N52" s="3" t="s">
        <v>22</v>
      </c>
      <c r="O52" s="2">
        <v>2.61</v>
      </c>
      <c r="P52" s="2">
        <v>2.5499999999999998</v>
      </c>
      <c r="Q52" s="89">
        <v>2.27</v>
      </c>
    </row>
    <row r="53" spans="1:17" x14ac:dyDescent="0.2">
      <c r="A53" s="88" t="s">
        <v>71</v>
      </c>
      <c r="B53" s="2">
        <v>1.1399999999999999</v>
      </c>
      <c r="C53" s="2">
        <v>0.66</v>
      </c>
      <c r="D53" s="2">
        <v>1.1599999999999999</v>
      </c>
      <c r="E53" s="5">
        <v>1.1000000000000001</v>
      </c>
      <c r="F53" s="2">
        <v>0.96</v>
      </c>
      <c r="G53" s="2">
        <v>1.41</v>
      </c>
      <c r="H53" s="2">
        <v>1.33</v>
      </c>
      <c r="I53" s="5">
        <v>2.78</v>
      </c>
      <c r="J53" s="4">
        <v>1.85</v>
      </c>
      <c r="K53" s="4">
        <v>3.7</v>
      </c>
      <c r="L53" s="5">
        <v>1.8</v>
      </c>
      <c r="M53" s="3" t="s">
        <v>22</v>
      </c>
      <c r="N53" s="3" t="s">
        <v>22</v>
      </c>
      <c r="O53" s="2">
        <v>2.54</v>
      </c>
      <c r="P53" s="2">
        <v>2.57</v>
      </c>
      <c r="Q53" s="89">
        <v>2.25</v>
      </c>
    </row>
    <row r="54" spans="1:17" x14ac:dyDescent="0.2">
      <c r="A54" s="88" t="s">
        <v>72</v>
      </c>
      <c r="B54" s="2">
        <v>1.24</v>
      </c>
      <c r="C54" s="2">
        <v>0.67</v>
      </c>
      <c r="D54" s="2">
        <v>1.17</v>
      </c>
      <c r="E54" s="2">
        <v>1.1200000000000001</v>
      </c>
      <c r="F54" s="2">
        <v>0.97</v>
      </c>
      <c r="G54" s="2">
        <v>1.41</v>
      </c>
      <c r="H54" s="2">
        <v>1.35</v>
      </c>
      <c r="I54" s="5">
        <v>2.8</v>
      </c>
      <c r="J54" s="4">
        <v>1.99</v>
      </c>
      <c r="K54" s="4">
        <v>3.69</v>
      </c>
      <c r="L54" s="2">
        <v>1.75</v>
      </c>
      <c r="M54" s="3" t="s">
        <v>22</v>
      </c>
      <c r="N54" s="3" t="s">
        <v>22</v>
      </c>
      <c r="O54" s="2">
        <v>2.4900000000000002</v>
      </c>
      <c r="P54" s="2">
        <v>2.52</v>
      </c>
      <c r="Q54" s="89">
        <v>2.23</v>
      </c>
    </row>
    <row r="55" spans="1:17" x14ac:dyDescent="0.2">
      <c r="A55" s="88" t="s">
        <v>73</v>
      </c>
      <c r="B55" s="2">
        <v>1.19</v>
      </c>
      <c r="C55" s="2">
        <v>0.69</v>
      </c>
      <c r="D55" s="5">
        <v>1.2</v>
      </c>
      <c r="E55" s="5">
        <v>1.1399999999999999</v>
      </c>
      <c r="F55" s="2">
        <v>0.99</v>
      </c>
      <c r="G55" s="2">
        <v>1.38</v>
      </c>
      <c r="H55" s="2">
        <v>1.32</v>
      </c>
      <c r="I55" s="5">
        <v>2.76</v>
      </c>
      <c r="J55" s="4">
        <v>2.02</v>
      </c>
      <c r="K55" s="4">
        <v>3.71</v>
      </c>
      <c r="L55" s="2">
        <v>1.78</v>
      </c>
      <c r="M55" s="3" t="s">
        <v>22</v>
      </c>
      <c r="N55" s="3" t="s">
        <v>22</v>
      </c>
      <c r="O55" s="2">
        <v>2.4300000000000002</v>
      </c>
      <c r="P55" s="2">
        <v>2.46</v>
      </c>
      <c r="Q55" s="89">
        <v>2.23</v>
      </c>
    </row>
    <row r="56" spans="1:17" x14ac:dyDescent="0.2">
      <c r="A56" s="88" t="s">
        <v>74</v>
      </c>
      <c r="B56" s="2">
        <v>1.1100000000000001</v>
      </c>
      <c r="C56" s="2">
        <v>0.61</v>
      </c>
      <c r="D56" s="2">
        <v>1.21</v>
      </c>
      <c r="E56" s="5">
        <v>1.1499999999999999</v>
      </c>
      <c r="F56" s="5">
        <v>1</v>
      </c>
      <c r="G56" s="2">
        <v>1.42</v>
      </c>
      <c r="H56" s="2">
        <v>1.34</v>
      </c>
      <c r="I56" s="5">
        <v>2.83</v>
      </c>
      <c r="J56" s="4">
        <v>2.0499999999999998</v>
      </c>
      <c r="K56" s="4">
        <v>3.81</v>
      </c>
      <c r="L56" s="2">
        <v>1.78</v>
      </c>
      <c r="M56" s="3" t="s">
        <v>22</v>
      </c>
      <c r="N56" s="3" t="s">
        <v>22</v>
      </c>
      <c r="O56" s="3" t="s">
        <v>22</v>
      </c>
      <c r="P56" s="3" t="s">
        <v>22</v>
      </c>
      <c r="Q56" s="91" t="s">
        <v>22</v>
      </c>
    </row>
    <row r="57" spans="1:17" x14ac:dyDescent="0.2">
      <c r="A57" s="88" t="s">
        <v>75</v>
      </c>
      <c r="B57" s="2">
        <v>1.1200000000000001</v>
      </c>
      <c r="C57" s="2">
        <v>0.56999999999999995</v>
      </c>
      <c r="D57" s="2">
        <v>1.22</v>
      </c>
      <c r="E57" s="5">
        <v>1.1599999999999999</v>
      </c>
      <c r="F57" s="2">
        <v>1.01</v>
      </c>
      <c r="G57" s="2">
        <v>1.47</v>
      </c>
      <c r="H57" s="2">
        <v>1.39</v>
      </c>
      <c r="I57" s="5">
        <v>2.92</v>
      </c>
      <c r="J57" s="4">
        <v>2.0230000000000001</v>
      </c>
      <c r="K57" s="4">
        <v>3.93</v>
      </c>
      <c r="L57" s="2">
        <v>1.85</v>
      </c>
      <c r="M57" s="3" t="s">
        <v>22</v>
      </c>
      <c r="N57" s="3" t="s">
        <v>22</v>
      </c>
      <c r="O57" s="3" t="s">
        <v>22</v>
      </c>
      <c r="P57" s="3" t="s">
        <v>22</v>
      </c>
      <c r="Q57" s="91" t="s">
        <v>22</v>
      </c>
    </row>
    <row r="58" spans="1:17" x14ac:dyDescent="0.2">
      <c r="A58" s="88" t="s">
        <v>76</v>
      </c>
      <c r="B58" s="5">
        <v>1.2</v>
      </c>
      <c r="C58" s="2">
        <v>0.76</v>
      </c>
      <c r="D58" s="2">
        <v>1.25</v>
      </c>
      <c r="E58" s="5">
        <v>1.2</v>
      </c>
      <c r="F58" s="2">
        <v>1.03</v>
      </c>
      <c r="G58" s="2">
        <v>1.43</v>
      </c>
      <c r="H58" s="2">
        <v>1.38</v>
      </c>
      <c r="I58" s="5">
        <v>2.8450000000000002</v>
      </c>
      <c r="J58" s="4">
        <v>2.02</v>
      </c>
      <c r="K58" s="4">
        <v>3.93</v>
      </c>
      <c r="L58" s="2">
        <v>1.87</v>
      </c>
      <c r="M58" s="3" t="s">
        <v>22</v>
      </c>
      <c r="N58" s="3" t="s">
        <v>22</v>
      </c>
      <c r="O58" s="2">
        <v>2.4900000000000002</v>
      </c>
      <c r="P58" s="2">
        <v>2.4900000000000002</v>
      </c>
      <c r="Q58" s="89">
        <v>2.33</v>
      </c>
    </row>
    <row r="59" spans="1:17" x14ac:dyDescent="0.2">
      <c r="A59" s="88" t="s">
        <v>77</v>
      </c>
      <c r="B59" s="2">
        <v>1.17</v>
      </c>
      <c r="C59" s="2">
        <v>0.75</v>
      </c>
      <c r="D59" s="2">
        <v>1.25</v>
      </c>
      <c r="E59" s="5">
        <v>1.2</v>
      </c>
      <c r="F59" s="2">
        <v>1.03</v>
      </c>
      <c r="G59" s="2">
        <v>1.39</v>
      </c>
      <c r="H59" s="2">
        <v>1.32</v>
      </c>
      <c r="I59" s="5">
        <v>2.79</v>
      </c>
      <c r="J59" s="4">
        <v>1.98</v>
      </c>
      <c r="K59" s="4">
        <v>3.67</v>
      </c>
      <c r="L59" s="2">
        <v>1.87</v>
      </c>
      <c r="M59" s="3" t="s">
        <v>22</v>
      </c>
      <c r="N59" s="3" t="s">
        <v>22</v>
      </c>
      <c r="O59" s="2">
        <v>2.56</v>
      </c>
      <c r="P59" s="5">
        <v>2.6</v>
      </c>
      <c r="Q59" s="89">
        <v>2.34</v>
      </c>
    </row>
    <row r="60" spans="1:17" x14ac:dyDescent="0.2">
      <c r="A60" s="88" t="s">
        <v>78</v>
      </c>
      <c r="B60" s="2">
        <v>1.23</v>
      </c>
      <c r="C60" s="2">
        <v>0.81</v>
      </c>
      <c r="D60" s="2">
        <v>1.26</v>
      </c>
      <c r="E60" s="2">
        <v>1.21</v>
      </c>
      <c r="F60" s="2">
        <v>1.02</v>
      </c>
      <c r="G60" s="2">
        <v>1.36</v>
      </c>
      <c r="H60" s="2">
        <v>1.32</v>
      </c>
      <c r="I60" s="2">
        <v>2.75</v>
      </c>
      <c r="J60" s="4">
        <v>1.81</v>
      </c>
      <c r="K60" s="4">
        <v>3.35</v>
      </c>
      <c r="L60" s="2">
        <v>1.87</v>
      </c>
      <c r="M60" s="3" t="s">
        <v>22</v>
      </c>
      <c r="N60" s="3" t="s">
        <v>22</v>
      </c>
      <c r="O60" s="2">
        <v>2.54</v>
      </c>
      <c r="P60" s="2">
        <v>2.57</v>
      </c>
      <c r="Q60" s="89">
        <v>2.21</v>
      </c>
    </row>
    <row r="61" spans="1:17" x14ac:dyDescent="0.2">
      <c r="A61" s="88" t="s">
        <v>79</v>
      </c>
      <c r="B61" s="5">
        <v>1.3</v>
      </c>
      <c r="C61" s="2">
        <v>0.89</v>
      </c>
      <c r="D61" s="2">
        <v>1.29</v>
      </c>
      <c r="E61" s="5">
        <v>1.25</v>
      </c>
      <c r="F61" s="2">
        <v>1.04</v>
      </c>
      <c r="G61" s="2">
        <v>1.34</v>
      </c>
      <c r="H61" s="2">
        <v>1.26</v>
      </c>
      <c r="I61" s="5">
        <v>2.65</v>
      </c>
      <c r="J61" s="4">
        <v>1.8</v>
      </c>
      <c r="K61" s="4">
        <v>3.33</v>
      </c>
      <c r="L61" s="2">
        <v>1.86</v>
      </c>
      <c r="M61" s="3" t="s">
        <v>22</v>
      </c>
      <c r="N61" s="3" t="s">
        <v>22</v>
      </c>
      <c r="O61" s="2">
        <v>2.52</v>
      </c>
      <c r="P61" s="2">
        <v>2.56</v>
      </c>
      <c r="Q61" s="89">
        <v>2.2200000000000002</v>
      </c>
    </row>
    <row r="62" spans="1:17" x14ac:dyDescent="0.2">
      <c r="A62" s="88" t="s">
        <v>80</v>
      </c>
      <c r="B62" s="2">
        <v>1.37</v>
      </c>
      <c r="C62" s="2">
        <v>0.94</v>
      </c>
      <c r="D62" s="2">
        <v>1.29</v>
      </c>
      <c r="E62" s="5">
        <v>1.25</v>
      </c>
      <c r="F62" s="2">
        <v>1.06</v>
      </c>
      <c r="G62" s="2">
        <v>1.27</v>
      </c>
      <c r="H62" s="2">
        <v>1.19</v>
      </c>
      <c r="I62" s="2">
        <v>2.69</v>
      </c>
      <c r="J62" s="4">
        <v>1.9</v>
      </c>
      <c r="K62" s="4">
        <v>3.39</v>
      </c>
      <c r="L62" s="2">
        <v>1.89</v>
      </c>
      <c r="M62" s="3" t="s">
        <v>22</v>
      </c>
      <c r="N62" s="3" t="s">
        <v>22</v>
      </c>
      <c r="O62" s="2">
        <v>2.4700000000000002</v>
      </c>
      <c r="P62" s="2">
        <v>2.52</v>
      </c>
      <c r="Q62" s="89">
        <v>2.16</v>
      </c>
    </row>
    <row r="63" spans="1:17" x14ac:dyDescent="0.2">
      <c r="A63" s="88" t="s">
        <v>81</v>
      </c>
      <c r="B63" s="2">
        <v>1.69</v>
      </c>
      <c r="C63" s="2">
        <v>0.91</v>
      </c>
      <c r="D63" s="2">
        <v>1.31</v>
      </c>
      <c r="E63" s="5">
        <v>1.27</v>
      </c>
      <c r="F63" s="2">
        <v>1.06</v>
      </c>
      <c r="G63" s="2">
        <v>1.27</v>
      </c>
      <c r="H63" s="2">
        <v>1.19</v>
      </c>
      <c r="I63" s="5">
        <v>2.7</v>
      </c>
      <c r="J63" s="4">
        <v>1.93</v>
      </c>
      <c r="K63" s="4">
        <v>3.39</v>
      </c>
      <c r="L63" s="2">
        <v>1.95</v>
      </c>
      <c r="M63" s="3" t="s">
        <v>22</v>
      </c>
      <c r="N63" s="3" t="s">
        <v>22</v>
      </c>
      <c r="O63" s="2">
        <v>2.54</v>
      </c>
      <c r="P63" s="2">
        <v>2.59</v>
      </c>
      <c r="Q63" s="89">
        <v>2.27</v>
      </c>
    </row>
    <row r="64" spans="1:17" x14ac:dyDescent="0.2">
      <c r="A64" s="88" t="s">
        <v>82</v>
      </c>
      <c r="B64" s="2">
        <v>1.63</v>
      </c>
      <c r="C64" s="5">
        <v>0.8</v>
      </c>
      <c r="D64" s="2">
        <v>1.33</v>
      </c>
      <c r="E64" s="5">
        <v>1.3</v>
      </c>
      <c r="F64" s="2">
        <v>1.07</v>
      </c>
      <c r="G64" s="2">
        <v>1.37</v>
      </c>
      <c r="H64" s="2">
        <v>1.27</v>
      </c>
      <c r="I64" s="5">
        <v>2.782</v>
      </c>
      <c r="J64" s="4">
        <v>2.0299999999999998</v>
      </c>
      <c r="K64" s="4">
        <v>3.46</v>
      </c>
      <c r="L64" s="2">
        <v>2.0099999999999998</v>
      </c>
      <c r="M64" s="3" t="s">
        <v>22</v>
      </c>
      <c r="N64" s="3" t="s">
        <v>22</v>
      </c>
      <c r="O64" s="2">
        <v>2.58</v>
      </c>
      <c r="P64" s="2">
        <v>2.62</v>
      </c>
      <c r="Q64" s="89">
        <v>2.33</v>
      </c>
    </row>
    <row r="65" spans="1:30" x14ac:dyDescent="0.2">
      <c r="A65" s="88" t="s">
        <v>83</v>
      </c>
      <c r="B65" s="2">
        <v>1.65</v>
      </c>
      <c r="C65" s="2">
        <v>0.84</v>
      </c>
      <c r="D65" s="2">
        <v>1.31</v>
      </c>
      <c r="E65" s="5">
        <v>1.28</v>
      </c>
      <c r="F65" s="2">
        <v>1.06</v>
      </c>
      <c r="G65" s="2">
        <v>1.31</v>
      </c>
      <c r="H65" s="2">
        <v>1.23</v>
      </c>
      <c r="I65" s="5">
        <v>2.79</v>
      </c>
      <c r="J65" s="4">
        <v>2.19</v>
      </c>
      <c r="K65" s="4">
        <v>3.4540000000000002</v>
      </c>
      <c r="L65" s="5">
        <v>2</v>
      </c>
      <c r="M65" s="3">
        <v>1.34</v>
      </c>
      <c r="N65" s="3">
        <v>1.25</v>
      </c>
      <c r="O65" s="2">
        <v>2.57</v>
      </c>
      <c r="P65" s="2">
        <v>2.63</v>
      </c>
      <c r="Q65" s="89">
        <v>2.33</v>
      </c>
    </row>
    <row r="66" spans="1:30" x14ac:dyDescent="0.2">
      <c r="A66" s="88" t="s">
        <v>84</v>
      </c>
      <c r="B66" s="5">
        <v>1.6</v>
      </c>
      <c r="C66" s="5">
        <v>0.81</v>
      </c>
      <c r="D66" s="5">
        <v>1.31</v>
      </c>
      <c r="E66" s="5">
        <v>1.28</v>
      </c>
      <c r="F66" s="5">
        <v>1.06</v>
      </c>
      <c r="G66" s="5">
        <v>1.31</v>
      </c>
      <c r="H66" s="5">
        <v>1.23</v>
      </c>
      <c r="I66" s="5">
        <v>2.85</v>
      </c>
      <c r="J66" s="4">
        <v>2.23</v>
      </c>
      <c r="K66" s="4">
        <v>3.46</v>
      </c>
      <c r="L66" s="5">
        <v>2</v>
      </c>
      <c r="M66" s="3">
        <v>1.34</v>
      </c>
      <c r="N66" s="3">
        <v>1.27</v>
      </c>
      <c r="O66" s="5">
        <v>2.64</v>
      </c>
      <c r="P66" s="5">
        <v>2.71</v>
      </c>
      <c r="Q66" s="90">
        <v>2.37</v>
      </c>
    </row>
    <row r="67" spans="1:30" x14ac:dyDescent="0.2">
      <c r="A67" s="88" t="s">
        <v>85</v>
      </c>
      <c r="B67" s="2">
        <v>1.66</v>
      </c>
      <c r="C67" s="2">
        <v>0.87</v>
      </c>
      <c r="D67" s="5">
        <v>1.3</v>
      </c>
      <c r="E67" s="5">
        <v>1.27</v>
      </c>
      <c r="F67" s="2">
        <v>1.04</v>
      </c>
      <c r="G67" s="2">
        <v>1.31</v>
      </c>
      <c r="H67" s="2">
        <v>1.23</v>
      </c>
      <c r="I67" s="5">
        <v>2.91</v>
      </c>
      <c r="J67" s="4">
        <v>2.44</v>
      </c>
      <c r="K67" s="4">
        <v>3.52</v>
      </c>
      <c r="L67" s="2">
        <v>2.06</v>
      </c>
      <c r="M67" s="2">
        <v>1.34</v>
      </c>
      <c r="N67" s="2">
        <v>1.19</v>
      </c>
      <c r="O67" s="2">
        <v>2.77</v>
      </c>
      <c r="P67" s="2">
        <v>2.71</v>
      </c>
      <c r="Q67" s="89">
        <v>2.37</v>
      </c>
    </row>
    <row r="68" spans="1:30" x14ac:dyDescent="0.2">
      <c r="A68" s="88" t="s">
        <v>87</v>
      </c>
      <c r="B68" s="5">
        <v>1.7</v>
      </c>
      <c r="C68" s="5">
        <v>0.81</v>
      </c>
      <c r="D68" s="2">
        <v>1.32</v>
      </c>
      <c r="E68" s="5">
        <v>1.29</v>
      </c>
      <c r="F68" s="2">
        <v>1.04</v>
      </c>
      <c r="G68" s="2">
        <v>1.31</v>
      </c>
      <c r="H68" s="2">
        <v>1.23</v>
      </c>
      <c r="I68" s="5">
        <v>2.9</v>
      </c>
      <c r="J68" s="4">
        <v>2.33</v>
      </c>
      <c r="K68" s="4">
        <v>3.39</v>
      </c>
      <c r="L68" s="2">
        <v>2.12</v>
      </c>
      <c r="M68" s="3">
        <v>1.34</v>
      </c>
      <c r="N68" s="3">
        <v>1.21</v>
      </c>
      <c r="O68" s="2">
        <v>2.78</v>
      </c>
      <c r="P68" s="2">
        <v>2.81</v>
      </c>
      <c r="Q68" s="89">
        <v>2.4300000000000002</v>
      </c>
    </row>
    <row r="69" spans="1:30" x14ac:dyDescent="0.2">
      <c r="A69" s="92" t="s">
        <v>88</v>
      </c>
      <c r="B69" s="2">
        <v>1.66</v>
      </c>
      <c r="C69" s="5">
        <v>0.8</v>
      </c>
      <c r="D69" s="2">
        <v>1.33</v>
      </c>
      <c r="E69" s="5">
        <v>1.31</v>
      </c>
      <c r="F69" s="2">
        <v>1.05</v>
      </c>
      <c r="G69" s="2">
        <v>1.31</v>
      </c>
      <c r="H69" s="2">
        <v>1.23</v>
      </c>
      <c r="I69" s="5">
        <v>2.9</v>
      </c>
      <c r="J69" s="4">
        <v>2.19</v>
      </c>
      <c r="K69" s="4">
        <v>3.28</v>
      </c>
      <c r="L69" s="2">
        <v>2.11</v>
      </c>
      <c r="M69" s="3">
        <v>1.34</v>
      </c>
      <c r="N69" s="3">
        <v>1.21</v>
      </c>
      <c r="O69" s="2">
        <v>2.74</v>
      </c>
      <c r="P69" s="2">
        <v>2.77</v>
      </c>
      <c r="Q69" s="90">
        <v>2.4</v>
      </c>
    </row>
    <row r="70" spans="1:30" x14ac:dyDescent="0.2">
      <c r="A70" s="88" t="s">
        <v>89</v>
      </c>
      <c r="B70" s="5">
        <v>1.76</v>
      </c>
      <c r="C70" s="5">
        <v>0.74</v>
      </c>
      <c r="D70" s="2">
        <v>1.33</v>
      </c>
      <c r="E70" s="5">
        <v>1.31</v>
      </c>
      <c r="F70" s="2">
        <v>1.05</v>
      </c>
      <c r="G70" s="2">
        <v>1.33</v>
      </c>
      <c r="H70" s="2">
        <v>1.24</v>
      </c>
      <c r="I70" s="2">
        <v>3.05</v>
      </c>
      <c r="J70" s="4">
        <v>2.4300000000000002</v>
      </c>
      <c r="K70" s="4">
        <v>3.62</v>
      </c>
      <c r="L70" s="2">
        <v>2.12</v>
      </c>
      <c r="M70" s="3">
        <v>1.33</v>
      </c>
      <c r="N70" s="3">
        <v>1.22</v>
      </c>
      <c r="O70" s="2">
        <v>2.73</v>
      </c>
      <c r="P70" s="2">
        <v>2.76</v>
      </c>
      <c r="Q70" s="89">
        <v>2.39</v>
      </c>
    </row>
    <row r="71" spans="1:30" x14ac:dyDescent="0.2">
      <c r="A71" s="88" t="s">
        <v>90</v>
      </c>
      <c r="B71" s="2">
        <v>1.91</v>
      </c>
      <c r="C71" s="5">
        <v>0.78</v>
      </c>
      <c r="D71" s="2">
        <v>1.35</v>
      </c>
      <c r="E71" s="5">
        <v>1.33</v>
      </c>
      <c r="F71" s="2">
        <v>1.08</v>
      </c>
      <c r="G71" s="2">
        <v>1.33</v>
      </c>
      <c r="H71" s="2">
        <v>1.24</v>
      </c>
      <c r="I71" s="5">
        <v>3.13</v>
      </c>
      <c r="J71" s="4">
        <v>2.54</v>
      </c>
      <c r="K71" s="4">
        <v>3.67</v>
      </c>
      <c r="L71" s="5">
        <v>2.2000000000000002</v>
      </c>
      <c r="M71" s="3">
        <v>1.34</v>
      </c>
      <c r="N71" s="3">
        <v>1.19</v>
      </c>
      <c r="O71" s="2">
        <v>2.76</v>
      </c>
      <c r="P71" s="2">
        <v>2.79</v>
      </c>
      <c r="Q71" s="89">
        <v>2.37</v>
      </c>
    </row>
    <row r="72" spans="1:30" x14ac:dyDescent="0.2">
      <c r="A72" s="88" t="s">
        <v>91</v>
      </c>
      <c r="B72" s="2">
        <v>1.78</v>
      </c>
      <c r="C72" s="2">
        <v>0.82</v>
      </c>
      <c r="D72" s="2">
        <v>1.38</v>
      </c>
      <c r="E72" s="5">
        <v>1.35</v>
      </c>
      <c r="F72" s="5">
        <v>1.1000000000000001</v>
      </c>
      <c r="G72" s="2">
        <v>1.33</v>
      </c>
      <c r="H72" s="2">
        <v>1.24</v>
      </c>
      <c r="I72" s="5">
        <v>3.11</v>
      </c>
      <c r="J72" s="4">
        <v>2.5</v>
      </c>
      <c r="K72" s="4">
        <v>3.64</v>
      </c>
      <c r="L72" s="2">
        <v>2.19</v>
      </c>
      <c r="M72" s="3">
        <v>1.31</v>
      </c>
      <c r="N72" s="3">
        <v>1.1399999999999999</v>
      </c>
      <c r="O72" s="2">
        <v>2.79</v>
      </c>
      <c r="P72" s="2">
        <v>2.83</v>
      </c>
      <c r="Q72" s="89">
        <v>2.34</v>
      </c>
    </row>
    <row r="73" spans="1:30" x14ac:dyDescent="0.2">
      <c r="A73" s="88" t="s">
        <v>92</v>
      </c>
      <c r="B73" s="2">
        <v>1.74</v>
      </c>
      <c r="C73" s="5">
        <v>0.83</v>
      </c>
      <c r="D73" s="2">
        <v>1.38</v>
      </c>
      <c r="E73" s="5">
        <v>1.35</v>
      </c>
      <c r="F73" s="5">
        <v>1.1000000000000001</v>
      </c>
      <c r="G73" s="2">
        <v>1.33</v>
      </c>
      <c r="H73" s="2">
        <v>1.24</v>
      </c>
      <c r="I73" s="5">
        <v>3.07</v>
      </c>
      <c r="J73" s="4">
        <v>2.33</v>
      </c>
      <c r="K73" s="4">
        <v>3.52</v>
      </c>
      <c r="L73" s="2">
        <v>2.17</v>
      </c>
      <c r="M73" s="3">
        <v>1.31</v>
      </c>
      <c r="N73" s="3">
        <v>1.1399999999999999</v>
      </c>
      <c r="O73" s="2">
        <v>2.77</v>
      </c>
      <c r="P73" s="5">
        <v>2.8</v>
      </c>
      <c r="Q73" s="90">
        <v>2.2999999999999998</v>
      </c>
    </row>
    <row r="74" spans="1:30" x14ac:dyDescent="0.2">
      <c r="A74" s="88" t="s">
        <v>93</v>
      </c>
      <c r="B74" s="2">
        <v>1.92</v>
      </c>
      <c r="C74" s="5">
        <v>0.89</v>
      </c>
      <c r="D74" s="5">
        <v>1.4</v>
      </c>
      <c r="E74" s="5">
        <v>1.37</v>
      </c>
      <c r="F74" s="2">
        <v>1.1100000000000001</v>
      </c>
      <c r="G74" s="2">
        <v>1.33</v>
      </c>
      <c r="H74" s="2">
        <v>1.24</v>
      </c>
      <c r="I74" s="5">
        <v>3.05</v>
      </c>
      <c r="J74" s="4">
        <v>2.41</v>
      </c>
      <c r="K74" s="4">
        <v>3.68</v>
      </c>
      <c r="L74" s="2">
        <v>2.19</v>
      </c>
      <c r="M74" s="3">
        <v>1.32</v>
      </c>
      <c r="N74" s="3">
        <v>1.18</v>
      </c>
      <c r="O74" s="2">
        <v>2.77</v>
      </c>
      <c r="P74" s="2">
        <v>2.81</v>
      </c>
      <c r="Q74" s="89">
        <v>2.33</v>
      </c>
    </row>
    <row r="75" spans="1:30" x14ac:dyDescent="0.2">
      <c r="A75" s="88" t="s">
        <v>94</v>
      </c>
      <c r="B75" s="2">
        <v>1.84</v>
      </c>
      <c r="C75" s="2">
        <v>0.82</v>
      </c>
      <c r="D75" s="2">
        <v>1.41</v>
      </c>
      <c r="E75" s="2">
        <v>1.37</v>
      </c>
      <c r="F75" s="2">
        <v>1.1100000000000001</v>
      </c>
      <c r="G75" s="2">
        <v>1.33</v>
      </c>
      <c r="H75" s="2">
        <v>1.24</v>
      </c>
      <c r="I75" s="2">
        <v>2.88</v>
      </c>
      <c r="J75" s="4">
        <v>2.16</v>
      </c>
      <c r="K75" s="4">
        <v>3.46</v>
      </c>
      <c r="L75" s="2">
        <v>2.17</v>
      </c>
      <c r="M75" s="2">
        <v>1.36</v>
      </c>
      <c r="N75" s="2">
        <v>1.27</v>
      </c>
      <c r="O75" s="2">
        <v>2.71</v>
      </c>
      <c r="P75" s="2">
        <v>2.74</v>
      </c>
      <c r="Q75" s="89">
        <v>2.37</v>
      </c>
    </row>
    <row r="76" spans="1:30" x14ac:dyDescent="0.2">
      <c r="A76" s="88" t="s">
        <v>95</v>
      </c>
      <c r="B76" s="2">
        <v>1.82</v>
      </c>
      <c r="C76" s="5">
        <v>0.78</v>
      </c>
      <c r="D76" s="5">
        <v>1.4</v>
      </c>
      <c r="E76" s="5">
        <v>1.36</v>
      </c>
      <c r="F76" s="5">
        <v>1.1000000000000001</v>
      </c>
      <c r="G76" s="2">
        <v>1.33</v>
      </c>
      <c r="H76" s="2">
        <v>1.24</v>
      </c>
      <c r="I76" s="5">
        <v>2.93</v>
      </c>
      <c r="J76" s="4">
        <v>2.13</v>
      </c>
      <c r="K76" s="4">
        <v>3.43</v>
      </c>
      <c r="L76" s="5">
        <v>2.2000000000000002</v>
      </c>
      <c r="M76" s="3">
        <v>1.35</v>
      </c>
      <c r="N76" s="3">
        <v>1.22</v>
      </c>
      <c r="O76" s="2">
        <v>2.69</v>
      </c>
      <c r="P76" s="2">
        <v>2.73</v>
      </c>
      <c r="Q76" s="89">
        <v>2.46</v>
      </c>
    </row>
    <row r="77" spans="1:30" x14ac:dyDescent="0.2">
      <c r="A77" s="93" t="s">
        <v>96</v>
      </c>
      <c r="B77" s="17">
        <v>1.93</v>
      </c>
      <c r="C77" s="18">
        <v>0.81</v>
      </c>
      <c r="D77" s="17">
        <v>1.38</v>
      </c>
      <c r="E77" s="18">
        <v>1.35</v>
      </c>
      <c r="F77" s="18">
        <v>1.1000000000000001</v>
      </c>
      <c r="G77" s="17">
        <v>1.33</v>
      </c>
      <c r="H77" s="17">
        <v>1.24</v>
      </c>
      <c r="I77" s="17">
        <v>2.84</v>
      </c>
      <c r="J77" s="127">
        <v>2.04</v>
      </c>
      <c r="K77" s="127">
        <v>3.28</v>
      </c>
      <c r="L77" s="17">
        <v>2.14</v>
      </c>
      <c r="M77" s="19">
        <v>1.32</v>
      </c>
      <c r="N77" s="19">
        <v>1.26</v>
      </c>
      <c r="O77" s="17">
        <v>2.5099999999999998</v>
      </c>
      <c r="P77" s="17">
        <v>2.5499999999999998</v>
      </c>
      <c r="Q77" s="94">
        <v>2.34</v>
      </c>
    </row>
    <row r="78" spans="1:30" s="2" customFormat="1" x14ac:dyDescent="0.2">
      <c r="A78" s="88" t="s">
        <v>97</v>
      </c>
      <c r="B78" s="2">
        <v>2.02</v>
      </c>
      <c r="C78" s="5">
        <v>0.86</v>
      </c>
      <c r="D78" s="5">
        <v>1.37</v>
      </c>
      <c r="E78" s="5">
        <v>1.34</v>
      </c>
      <c r="F78" s="5">
        <v>1.1000000000000001</v>
      </c>
      <c r="G78" s="2">
        <v>1.37</v>
      </c>
      <c r="H78" s="2">
        <v>1.27</v>
      </c>
      <c r="I78" s="5">
        <v>2.9</v>
      </c>
      <c r="J78" s="4">
        <v>2.27</v>
      </c>
      <c r="K78" s="4">
        <v>3.4</v>
      </c>
      <c r="L78" s="2">
        <v>2.06</v>
      </c>
      <c r="M78" s="3">
        <v>1.38</v>
      </c>
      <c r="N78" s="3">
        <v>1.26</v>
      </c>
      <c r="O78" s="2">
        <v>2.52</v>
      </c>
      <c r="P78" s="2">
        <v>2.5499999999999998</v>
      </c>
      <c r="Q78" s="89">
        <v>2.4300000000000002</v>
      </c>
      <c r="R78" s="40"/>
      <c r="S78" s="40"/>
      <c r="T78" s="84"/>
      <c r="U78" s="31"/>
      <c r="V78" s="31"/>
      <c r="W78" s="20"/>
      <c r="X78" s="20"/>
      <c r="Y78" s="20"/>
      <c r="Z78" s="20"/>
      <c r="AA78" s="20"/>
      <c r="AB78" s="20"/>
      <c r="AC78" s="20"/>
      <c r="AD78" s="20"/>
    </row>
    <row r="79" spans="1:30" s="2" customFormat="1" x14ac:dyDescent="0.2">
      <c r="A79" s="88" t="s">
        <v>98</v>
      </c>
      <c r="B79" s="2">
        <v>1.92</v>
      </c>
      <c r="C79" s="5">
        <v>0.88</v>
      </c>
      <c r="D79" s="2">
        <v>1.36</v>
      </c>
      <c r="E79" s="5">
        <v>1.34</v>
      </c>
      <c r="F79" s="5">
        <v>1.1000000000000001</v>
      </c>
      <c r="G79" s="2">
        <v>1.37</v>
      </c>
      <c r="H79" s="2">
        <v>1.27</v>
      </c>
      <c r="I79" s="2">
        <v>2.93</v>
      </c>
      <c r="J79" s="4">
        <v>2.36</v>
      </c>
      <c r="K79" s="4">
        <v>3.52</v>
      </c>
      <c r="L79" s="2">
        <v>2.08</v>
      </c>
      <c r="M79" s="3">
        <v>1.38</v>
      </c>
      <c r="N79" s="3">
        <v>1.26</v>
      </c>
      <c r="O79" s="2">
        <v>2.57</v>
      </c>
      <c r="P79" s="2">
        <v>2.61</v>
      </c>
      <c r="Q79" s="89">
        <v>2.5099999999999998</v>
      </c>
      <c r="R79" s="40"/>
      <c r="S79" s="40"/>
      <c r="T79" s="40"/>
      <c r="U79" s="40"/>
      <c r="V79" s="40"/>
      <c r="W79" s="22"/>
      <c r="X79" s="20"/>
      <c r="Y79" s="20"/>
      <c r="Z79" s="20"/>
      <c r="AA79" s="20"/>
      <c r="AB79" s="20"/>
      <c r="AC79" s="20"/>
      <c r="AD79" s="20"/>
    </row>
    <row r="80" spans="1:30" s="2" customFormat="1" x14ac:dyDescent="0.2">
      <c r="A80" s="88" t="s">
        <v>99</v>
      </c>
      <c r="B80" s="2">
        <v>1.83</v>
      </c>
      <c r="C80" s="2">
        <v>0.92</v>
      </c>
      <c r="D80" s="2">
        <v>1.38</v>
      </c>
      <c r="E80" s="2">
        <v>1.35</v>
      </c>
      <c r="F80" s="2">
        <v>1.1100000000000001</v>
      </c>
      <c r="G80" s="2">
        <v>1.37</v>
      </c>
      <c r="H80" s="2">
        <v>1.27</v>
      </c>
      <c r="I80" s="2">
        <v>2.94</v>
      </c>
      <c r="J80" s="4">
        <v>2.4300000000000002</v>
      </c>
      <c r="K80" s="4">
        <v>3.54</v>
      </c>
      <c r="L80" s="2">
        <v>2.04</v>
      </c>
      <c r="M80" s="2">
        <v>1.35</v>
      </c>
      <c r="N80" s="2">
        <v>1.25</v>
      </c>
      <c r="O80" s="2">
        <v>2.5299999999999998</v>
      </c>
      <c r="P80" s="5">
        <v>2.6</v>
      </c>
      <c r="Q80" s="89">
        <v>2.58</v>
      </c>
      <c r="R80" s="40"/>
      <c r="S80" s="40"/>
      <c r="T80" s="40"/>
      <c r="U80" s="40"/>
      <c r="V80" s="40"/>
      <c r="W80" s="22"/>
      <c r="X80" s="20"/>
      <c r="Y80" s="20"/>
      <c r="Z80" s="20"/>
      <c r="AA80" s="20"/>
      <c r="AB80" s="20"/>
      <c r="AC80" s="20"/>
      <c r="AD80" s="20"/>
    </row>
    <row r="81" spans="1:30" s="2" customFormat="1" x14ac:dyDescent="0.2">
      <c r="A81" s="88" t="s">
        <v>100</v>
      </c>
      <c r="B81" s="2">
        <v>1.85</v>
      </c>
      <c r="C81" s="2">
        <v>0.94</v>
      </c>
      <c r="D81" s="2">
        <v>1.46</v>
      </c>
      <c r="E81" s="2">
        <v>1.43</v>
      </c>
      <c r="F81" s="2">
        <v>1.18</v>
      </c>
      <c r="G81" s="2">
        <v>1.37</v>
      </c>
      <c r="H81" s="2">
        <v>1.27</v>
      </c>
      <c r="I81" s="2">
        <v>3.05</v>
      </c>
      <c r="J81" s="4">
        <v>2.4300000000000002</v>
      </c>
      <c r="K81" s="4">
        <v>3.56</v>
      </c>
      <c r="L81" s="2">
        <v>2.0099999999999998</v>
      </c>
      <c r="M81" s="2">
        <v>1.34</v>
      </c>
      <c r="N81" s="2">
        <v>1.26</v>
      </c>
      <c r="O81" s="5">
        <v>2.6</v>
      </c>
      <c r="P81" s="2">
        <v>2.64</v>
      </c>
      <c r="Q81" s="89">
        <v>2.64</v>
      </c>
      <c r="R81" s="40"/>
      <c r="S81" s="40"/>
      <c r="T81" s="40"/>
      <c r="U81" s="40"/>
      <c r="V81" s="40"/>
      <c r="W81" s="22"/>
      <c r="X81" s="20"/>
      <c r="Y81" s="20"/>
      <c r="Z81" s="20"/>
      <c r="AA81" s="20"/>
      <c r="AB81" s="20"/>
      <c r="AC81" s="20"/>
      <c r="AD81" s="20"/>
    </row>
    <row r="82" spans="1:30" s="2" customFormat="1" x14ac:dyDescent="0.2">
      <c r="A82" s="88" t="s">
        <v>101</v>
      </c>
      <c r="B82" s="2">
        <v>1.86</v>
      </c>
      <c r="C82" s="2">
        <v>1.01</v>
      </c>
      <c r="D82" s="2">
        <v>1.53</v>
      </c>
      <c r="E82" s="5">
        <v>1.5</v>
      </c>
      <c r="F82" s="2">
        <v>1.23</v>
      </c>
      <c r="G82" s="2">
        <v>1.37</v>
      </c>
      <c r="H82" s="2">
        <v>1.27</v>
      </c>
      <c r="I82" s="2">
        <v>3.05</v>
      </c>
      <c r="J82" s="4">
        <v>2.4</v>
      </c>
      <c r="K82" s="4">
        <v>3.52</v>
      </c>
      <c r="L82" s="2">
        <v>2.0099999999999998</v>
      </c>
      <c r="M82" s="5">
        <v>1.4</v>
      </c>
      <c r="N82" s="2">
        <v>1.31</v>
      </c>
      <c r="O82" s="2">
        <v>2.64</v>
      </c>
      <c r="P82" s="2">
        <v>2.67</v>
      </c>
      <c r="Q82" s="89">
        <v>2.69</v>
      </c>
      <c r="R82" s="40"/>
      <c r="S82" s="40"/>
      <c r="T82" s="40"/>
      <c r="U82" s="40"/>
      <c r="V82" s="40"/>
      <c r="W82" s="22"/>
      <c r="X82" s="20"/>
      <c r="Y82" s="20"/>
      <c r="Z82" s="20"/>
      <c r="AA82" s="20"/>
      <c r="AB82" s="20"/>
      <c r="AC82" s="20"/>
      <c r="AD82" s="20"/>
    </row>
    <row r="83" spans="1:30" s="2" customFormat="1" x14ac:dyDescent="0.2">
      <c r="A83" s="88" t="s">
        <v>102</v>
      </c>
      <c r="B83" s="2">
        <v>1.86</v>
      </c>
      <c r="C83" s="2">
        <v>1.02</v>
      </c>
      <c r="D83" s="2">
        <v>1.65</v>
      </c>
      <c r="E83" s="2">
        <v>1.55</v>
      </c>
      <c r="F83" s="2">
        <v>1.26</v>
      </c>
      <c r="G83" s="2">
        <v>1.53</v>
      </c>
      <c r="H83" s="2">
        <v>1.34</v>
      </c>
      <c r="I83" s="5">
        <v>3.1</v>
      </c>
      <c r="J83" s="4">
        <v>2.4700000000000002</v>
      </c>
      <c r="K83" s="4">
        <v>3.6</v>
      </c>
      <c r="L83" s="2">
        <v>2.0099999999999998</v>
      </c>
      <c r="M83" s="2">
        <v>1.38</v>
      </c>
      <c r="N83" s="2">
        <v>1.21</v>
      </c>
      <c r="O83" s="2">
        <v>2.5299999999999998</v>
      </c>
      <c r="P83" s="2">
        <v>2.56</v>
      </c>
      <c r="Q83" s="89">
        <v>2.59</v>
      </c>
      <c r="R83" s="40"/>
      <c r="S83" s="40"/>
      <c r="T83" s="40"/>
      <c r="U83" s="40"/>
      <c r="V83" s="40"/>
      <c r="W83" s="22"/>
      <c r="X83" s="20"/>
      <c r="Y83" s="20"/>
      <c r="Z83" s="20"/>
      <c r="AA83" s="20"/>
      <c r="AB83" s="20"/>
      <c r="AC83" s="20"/>
      <c r="AD83" s="20"/>
    </row>
    <row r="84" spans="1:30" s="2" customFormat="1" x14ac:dyDescent="0.2">
      <c r="A84" s="88" t="s">
        <v>103</v>
      </c>
      <c r="B84" s="2">
        <v>1.83</v>
      </c>
      <c r="C84" s="2">
        <v>1.03</v>
      </c>
      <c r="D84" s="2">
        <v>1.72</v>
      </c>
      <c r="E84" s="2">
        <v>1.65</v>
      </c>
      <c r="F84" s="5">
        <v>1.3</v>
      </c>
      <c r="G84" s="2">
        <v>1.63</v>
      </c>
      <c r="H84" s="2">
        <v>1.49</v>
      </c>
      <c r="I84" s="2">
        <v>3.09</v>
      </c>
      <c r="J84" s="4">
        <v>2.5299999999999998</v>
      </c>
      <c r="K84" s="4">
        <v>3.65</v>
      </c>
      <c r="L84" s="2">
        <v>2.02</v>
      </c>
      <c r="M84" s="2">
        <v>1.44</v>
      </c>
      <c r="N84" s="2">
        <v>1.36</v>
      </c>
      <c r="O84" s="2">
        <v>2.65</v>
      </c>
      <c r="P84" s="2">
        <v>2.68</v>
      </c>
      <c r="Q84" s="89">
        <v>2.65</v>
      </c>
      <c r="R84" s="40"/>
      <c r="S84" s="40"/>
      <c r="T84" s="40"/>
      <c r="U84" s="40"/>
      <c r="V84" s="40"/>
      <c r="W84" s="22"/>
      <c r="X84" s="20"/>
      <c r="Y84" s="20"/>
      <c r="Z84" s="20"/>
      <c r="AA84" s="20"/>
      <c r="AB84" s="20"/>
      <c r="AC84" s="20"/>
      <c r="AD84" s="20"/>
    </row>
    <row r="85" spans="1:30" s="2" customFormat="1" x14ac:dyDescent="0.2">
      <c r="A85" s="88" t="s">
        <v>104</v>
      </c>
      <c r="B85" s="5">
        <v>1.8959999999999999</v>
      </c>
      <c r="C85" s="5">
        <v>1.046</v>
      </c>
      <c r="D85" s="5">
        <v>1.74</v>
      </c>
      <c r="E85" s="5">
        <v>1.67</v>
      </c>
      <c r="F85" s="5">
        <v>1.3</v>
      </c>
      <c r="G85" s="5">
        <v>1.6</v>
      </c>
      <c r="H85" s="5">
        <v>1.46</v>
      </c>
      <c r="I85" s="5">
        <v>3.133</v>
      </c>
      <c r="J85" s="4">
        <v>2.4620000000000002</v>
      </c>
      <c r="K85" s="4">
        <v>3.581</v>
      </c>
      <c r="L85" s="5">
        <f>0.9342/0.45436</f>
        <v>2.0560788801831147</v>
      </c>
      <c r="M85" s="5">
        <v>1.47</v>
      </c>
      <c r="N85" s="5">
        <v>1.27</v>
      </c>
      <c r="O85" s="5">
        <f>3.04*0.88</f>
        <v>2.6752000000000002</v>
      </c>
      <c r="P85" s="5">
        <f>3.08*0.88</f>
        <v>2.7103999999999999</v>
      </c>
      <c r="Q85" s="90">
        <f>3.04*0.88</f>
        <v>2.6752000000000002</v>
      </c>
      <c r="R85" s="40"/>
      <c r="S85" s="40"/>
      <c r="T85" s="40"/>
      <c r="U85" s="40"/>
      <c r="V85" s="40"/>
      <c r="W85" s="22"/>
      <c r="X85" s="20"/>
      <c r="Y85" s="20"/>
      <c r="Z85" s="20"/>
      <c r="AA85" s="20"/>
      <c r="AB85" s="20"/>
      <c r="AC85" s="20"/>
      <c r="AD85" s="20"/>
    </row>
    <row r="86" spans="1:30" s="2" customFormat="1" x14ac:dyDescent="0.2">
      <c r="A86" s="88" t="s">
        <v>105</v>
      </c>
      <c r="B86" s="2">
        <v>1.87</v>
      </c>
      <c r="C86" s="5">
        <v>1.1000000000000001</v>
      </c>
      <c r="D86" s="2">
        <v>1.72</v>
      </c>
      <c r="E86" s="2">
        <v>1.66</v>
      </c>
      <c r="F86" s="5">
        <v>1.3</v>
      </c>
      <c r="G86" s="2">
        <v>1.61</v>
      </c>
      <c r="H86" s="2">
        <v>1.41</v>
      </c>
      <c r="I86" s="2">
        <v>3.17</v>
      </c>
      <c r="J86" s="4">
        <v>2.4900000000000002</v>
      </c>
      <c r="K86" s="4">
        <v>3.56</v>
      </c>
      <c r="L86" s="2">
        <v>2.09</v>
      </c>
      <c r="M86" s="2">
        <v>1.57</v>
      </c>
      <c r="N86" s="2">
        <v>1.46</v>
      </c>
      <c r="O86" s="2">
        <v>2.67</v>
      </c>
      <c r="P86" s="2">
        <v>2.71</v>
      </c>
      <c r="Q86" s="89">
        <v>2.66</v>
      </c>
      <c r="R86" s="40"/>
      <c r="S86" s="40"/>
      <c r="T86" s="40"/>
      <c r="U86" s="40"/>
      <c r="V86" s="40"/>
      <c r="W86" s="22"/>
      <c r="X86" s="20"/>
      <c r="Y86" s="20"/>
      <c r="Z86" s="20"/>
      <c r="AA86" s="20"/>
      <c r="AB86" s="20"/>
      <c r="AC86" s="20"/>
      <c r="AD86" s="20"/>
    </row>
    <row r="87" spans="1:30" s="2" customFormat="1" x14ac:dyDescent="0.2">
      <c r="A87" s="88" t="s">
        <v>106</v>
      </c>
      <c r="B87" s="2">
        <v>1.84</v>
      </c>
      <c r="C87" s="2">
        <v>1.1100000000000001</v>
      </c>
      <c r="D87" s="5">
        <v>1.7</v>
      </c>
      <c r="E87" s="2">
        <v>1.65</v>
      </c>
      <c r="F87" s="5">
        <v>1.3</v>
      </c>
      <c r="G87" s="2">
        <v>1.56</v>
      </c>
      <c r="H87" s="2">
        <v>1.42</v>
      </c>
      <c r="I87" s="2">
        <v>3.23</v>
      </c>
      <c r="J87" s="4">
        <v>2.67</v>
      </c>
      <c r="K87" s="4">
        <v>3.75</v>
      </c>
      <c r="L87" s="2">
        <v>2.0499999999999998</v>
      </c>
      <c r="M87" s="2">
        <v>1.53</v>
      </c>
      <c r="N87" s="2">
        <v>1.43</v>
      </c>
      <c r="O87" s="2">
        <v>2.73</v>
      </c>
      <c r="P87" s="2">
        <v>2.77</v>
      </c>
      <c r="Q87" s="89">
        <v>2.73</v>
      </c>
      <c r="R87" s="40"/>
      <c r="S87" s="40"/>
      <c r="T87" s="40"/>
      <c r="U87" s="40"/>
      <c r="V87" s="40"/>
      <c r="W87" s="22"/>
      <c r="X87" s="20"/>
      <c r="Y87" s="20"/>
      <c r="Z87" s="20"/>
      <c r="AA87" s="20"/>
      <c r="AB87" s="20"/>
      <c r="AC87" s="20"/>
      <c r="AD87" s="20"/>
    </row>
    <row r="88" spans="1:30" s="2" customFormat="1" x14ac:dyDescent="0.2">
      <c r="A88" s="88" t="s">
        <v>107</v>
      </c>
      <c r="B88" s="2">
        <v>1.83</v>
      </c>
      <c r="C88" s="2">
        <v>1.1100000000000001</v>
      </c>
      <c r="D88" s="2">
        <v>1.66</v>
      </c>
      <c r="E88" s="2">
        <v>1.62</v>
      </c>
      <c r="F88" s="5">
        <v>1.3</v>
      </c>
      <c r="G88" s="2">
        <v>1.56</v>
      </c>
      <c r="H88" s="2">
        <v>1.41</v>
      </c>
      <c r="I88" s="2">
        <v>3.27</v>
      </c>
      <c r="J88" s="4">
        <v>2.67</v>
      </c>
      <c r="K88" s="4">
        <v>3.75</v>
      </c>
      <c r="L88" s="2">
        <v>2.0499999999999998</v>
      </c>
      <c r="M88" s="2">
        <v>1.68</v>
      </c>
      <c r="N88" s="2">
        <v>1.51</v>
      </c>
      <c r="O88" s="2">
        <v>2.79</v>
      </c>
      <c r="P88" s="2">
        <v>2.83</v>
      </c>
      <c r="Q88" s="89">
        <v>2.78</v>
      </c>
      <c r="R88" s="40"/>
      <c r="S88" s="40"/>
      <c r="T88" s="40"/>
      <c r="U88" s="40"/>
      <c r="V88" s="40"/>
      <c r="W88" s="22"/>
      <c r="X88" s="20"/>
      <c r="Y88" s="20"/>
      <c r="Z88" s="20"/>
      <c r="AA88" s="20"/>
      <c r="AB88" s="20"/>
      <c r="AC88" s="20"/>
      <c r="AD88" s="20"/>
    </row>
    <row r="89" spans="1:30" s="2" customFormat="1" x14ac:dyDescent="0.2">
      <c r="A89" s="88" t="s">
        <v>108</v>
      </c>
      <c r="B89" s="5">
        <v>1.8</v>
      </c>
      <c r="C89" s="2">
        <v>1.1299999999999999</v>
      </c>
      <c r="D89" s="2">
        <v>1.66</v>
      </c>
      <c r="E89" s="2">
        <v>1.62</v>
      </c>
      <c r="F89" s="5">
        <v>1.3</v>
      </c>
      <c r="G89" s="2">
        <v>1.57</v>
      </c>
      <c r="H89" s="2">
        <v>1.41</v>
      </c>
      <c r="I89" s="2">
        <v>3.32</v>
      </c>
      <c r="J89" s="4">
        <v>2.65</v>
      </c>
      <c r="K89" s="4">
        <v>3.78</v>
      </c>
      <c r="L89" s="2">
        <v>2.0699999999999998</v>
      </c>
      <c r="M89" s="2">
        <v>1.59</v>
      </c>
      <c r="N89" s="2">
        <v>1.46</v>
      </c>
      <c r="O89" s="2">
        <v>2.69</v>
      </c>
      <c r="P89" s="2">
        <v>2.77</v>
      </c>
      <c r="Q89" s="89">
        <v>2.69</v>
      </c>
      <c r="R89" s="40"/>
      <c r="S89" s="40"/>
      <c r="T89" s="40"/>
      <c r="U89" s="40"/>
      <c r="V89" s="40"/>
      <c r="W89" s="22"/>
      <c r="X89" s="20"/>
      <c r="Y89" s="20"/>
      <c r="Z89" s="20"/>
      <c r="AA89" s="20"/>
      <c r="AB89" s="20"/>
      <c r="AC89" s="20"/>
      <c r="AD89" s="20"/>
    </row>
    <row r="90" spans="1:30" s="2" customFormat="1" x14ac:dyDescent="0.2">
      <c r="A90" s="88" t="s">
        <v>109</v>
      </c>
      <c r="B90" s="2">
        <v>1.82</v>
      </c>
      <c r="C90" s="2">
        <v>1.18</v>
      </c>
      <c r="D90" s="2">
        <v>1.63</v>
      </c>
      <c r="E90" s="2">
        <v>1.57</v>
      </c>
      <c r="F90" s="5">
        <v>1.3</v>
      </c>
      <c r="G90" s="5">
        <v>1.6</v>
      </c>
      <c r="H90" s="2">
        <v>1.46</v>
      </c>
      <c r="I90" s="2">
        <v>3.36</v>
      </c>
      <c r="J90" s="4">
        <v>2.73</v>
      </c>
      <c r="K90" s="4">
        <v>3.86</v>
      </c>
      <c r="L90" s="2">
        <v>2.17</v>
      </c>
      <c r="M90" s="2">
        <v>1.63</v>
      </c>
      <c r="N90" s="2">
        <v>1.51</v>
      </c>
      <c r="O90" s="2">
        <v>2.73</v>
      </c>
      <c r="P90" s="2">
        <v>2.78</v>
      </c>
      <c r="Q90" s="89">
        <v>2.77</v>
      </c>
      <c r="R90" s="40"/>
      <c r="S90" s="40"/>
      <c r="T90" s="40"/>
      <c r="U90" s="40"/>
      <c r="V90" s="40"/>
      <c r="W90" s="22"/>
      <c r="X90" s="20"/>
      <c r="Y90" s="20"/>
      <c r="Z90" s="20"/>
      <c r="AA90" s="20"/>
      <c r="AB90" s="20"/>
      <c r="AC90" s="20"/>
      <c r="AD90" s="20"/>
    </row>
    <row r="91" spans="1:30" s="2" customFormat="1" x14ac:dyDescent="0.2">
      <c r="A91" s="88" t="s">
        <v>110</v>
      </c>
      <c r="B91" s="2">
        <v>1.86</v>
      </c>
      <c r="C91" s="2">
        <v>1.1399999999999999</v>
      </c>
      <c r="D91" s="2">
        <v>1.62</v>
      </c>
      <c r="E91" s="2">
        <v>1.57</v>
      </c>
      <c r="F91" s="5">
        <v>1.3</v>
      </c>
      <c r="G91" s="5">
        <v>1.6</v>
      </c>
      <c r="H91" s="2">
        <v>1.45</v>
      </c>
      <c r="I91" s="2">
        <v>3.49</v>
      </c>
      <c r="J91" s="4">
        <v>2.86</v>
      </c>
      <c r="K91" s="4">
        <v>4</v>
      </c>
      <c r="L91" s="2">
        <v>2.1800000000000002</v>
      </c>
      <c r="M91" s="2">
        <v>1.62</v>
      </c>
      <c r="N91" s="5">
        <v>1.5</v>
      </c>
      <c r="O91" s="2">
        <v>2.72</v>
      </c>
      <c r="P91" s="2">
        <v>2.75</v>
      </c>
      <c r="Q91" s="89">
        <v>2.78</v>
      </c>
      <c r="R91" s="40"/>
      <c r="S91" s="40"/>
      <c r="T91" s="40"/>
      <c r="U91" s="40"/>
      <c r="V91" s="40"/>
      <c r="W91" s="22"/>
      <c r="X91" s="20"/>
      <c r="Y91" s="20"/>
      <c r="Z91" s="20"/>
      <c r="AA91" s="20"/>
      <c r="AB91" s="20"/>
      <c r="AC91" s="20"/>
      <c r="AD91" s="20"/>
    </row>
    <row r="92" spans="1:30" s="2" customFormat="1" x14ac:dyDescent="0.2">
      <c r="A92" s="88" t="s">
        <v>111</v>
      </c>
      <c r="B92" s="5">
        <v>1.9</v>
      </c>
      <c r="C92" s="2">
        <v>1.21</v>
      </c>
      <c r="D92" s="2">
        <v>1.63</v>
      </c>
      <c r="E92" s="2">
        <v>1.58</v>
      </c>
      <c r="F92" s="2">
        <v>1.32</v>
      </c>
      <c r="G92" s="2">
        <v>1.59</v>
      </c>
      <c r="H92" s="2">
        <v>1.45</v>
      </c>
      <c r="I92" s="2">
        <v>3.51</v>
      </c>
      <c r="J92" s="4">
        <v>2.83</v>
      </c>
      <c r="K92" s="4">
        <v>4.0999999999999996</v>
      </c>
      <c r="L92" s="2">
        <v>2.13</v>
      </c>
      <c r="M92" s="2">
        <v>1.69</v>
      </c>
      <c r="N92" s="2">
        <v>1.59</v>
      </c>
      <c r="O92" s="2">
        <v>2.78</v>
      </c>
      <c r="P92" s="2">
        <v>2.81</v>
      </c>
      <c r="Q92" s="89">
        <v>2.91</v>
      </c>
      <c r="R92" s="40"/>
      <c r="S92" s="40"/>
      <c r="T92" s="40"/>
      <c r="U92" s="40"/>
      <c r="V92" s="40"/>
      <c r="W92" s="22"/>
      <c r="X92" s="20"/>
      <c r="Y92" s="20"/>
      <c r="Z92" s="20"/>
      <c r="AA92" s="20"/>
      <c r="AB92" s="20"/>
      <c r="AC92" s="20"/>
      <c r="AD92" s="20"/>
    </row>
    <row r="93" spans="1:30" s="2" customFormat="1" x14ac:dyDescent="0.2">
      <c r="A93" s="88" t="s">
        <v>112</v>
      </c>
      <c r="B93" s="2">
        <v>1.94</v>
      </c>
      <c r="C93" s="2">
        <v>1.23</v>
      </c>
      <c r="D93" s="2">
        <v>1.65</v>
      </c>
      <c r="E93" s="5">
        <v>1.6</v>
      </c>
      <c r="F93" s="2">
        <v>1.35</v>
      </c>
      <c r="G93" s="2">
        <v>1.64</v>
      </c>
      <c r="H93" s="2">
        <v>1.46</v>
      </c>
      <c r="I93" s="2">
        <v>3.53</v>
      </c>
      <c r="J93" s="4">
        <v>2.85</v>
      </c>
      <c r="K93" s="4">
        <v>4.13</v>
      </c>
      <c r="L93" s="2">
        <v>2.13</v>
      </c>
      <c r="M93" s="2">
        <v>1.74</v>
      </c>
      <c r="N93" s="2">
        <v>1.61</v>
      </c>
      <c r="O93" s="2">
        <v>2.82</v>
      </c>
      <c r="P93" s="2">
        <v>2.85</v>
      </c>
      <c r="Q93" s="89">
        <v>2.96</v>
      </c>
      <c r="R93" s="40"/>
      <c r="S93" s="40"/>
      <c r="T93" s="40"/>
      <c r="U93" s="40"/>
      <c r="V93" s="40"/>
      <c r="W93" s="22"/>
      <c r="X93" s="20"/>
      <c r="Y93" s="20"/>
      <c r="Z93" s="20"/>
      <c r="AA93" s="20"/>
      <c r="AB93" s="20"/>
      <c r="AC93" s="20"/>
      <c r="AD93" s="20"/>
    </row>
    <row r="94" spans="1:30" x14ac:dyDescent="0.2">
      <c r="A94" s="88" t="s">
        <v>113</v>
      </c>
      <c r="B94" s="6">
        <v>1.9559718100890209</v>
      </c>
      <c r="C94" s="5">
        <v>1.2193743818001979</v>
      </c>
      <c r="D94" s="2">
        <v>1.67</v>
      </c>
      <c r="E94" s="2">
        <v>1.61</v>
      </c>
      <c r="F94" s="5">
        <v>1.43</v>
      </c>
      <c r="G94" s="2">
        <v>1.63</v>
      </c>
      <c r="H94" s="2">
        <v>1.46</v>
      </c>
      <c r="I94" s="5">
        <v>3.6</v>
      </c>
      <c r="J94" s="128">
        <v>2.8947368421052633</v>
      </c>
      <c r="K94" s="128">
        <v>4.269005847953216</v>
      </c>
      <c r="L94" s="2">
        <v>2.15</v>
      </c>
      <c r="M94" s="2">
        <v>1.68</v>
      </c>
      <c r="N94" s="2">
        <v>1.55</v>
      </c>
      <c r="O94" s="2">
        <v>3.09</v>
      </c>
      <c r="P94" s="2">
        <v>3.11</v>
      </c>
      <c r="Q94" s="89">
        <v>2.95</v>
      </c>
      <c r="T94" s="41"/>
      <c r="U94" s="41"/>
      <c r="V94" s="41"/>
    </row>
    <row r="95" spans="1:30" x14ac:dyDescent="0.2">
      <c r="A95" s="95" t="s">
        <v>115</v>
      </c>
      <c r="B95" s="25">
        <v>2</v>
      </c>
      <c r="C95" s="25">
        <v>1.32</v>
      </c>
      <c r="D95" s="3">
        <v>1.67</v>
      </c>
      <c r="E95" s="3" t="s">
        <v>114</v>
      </c>
      <c r="F95" s="6">
        <v>1.38</v>
      </c>
      <c r="G95" s="3">
        <v>1.64</v>
      </c>
      <c r="H95" s="3">
        <v>1.46</v>
      </c>
      <c r="I95" s="6">
        <v>3.6898039215686276</v>
      </c>
      <c r="J95" s="128">
        <v>2.807017543859649</v>
      </c>
      <c r="K95" s="128">
        <v>4.2105263157894735</v>
      </c>
      <c r="L95" s="3">
        <v>2.15</v>
      </c>
      <c r="M95" s="6">
        <v>1.7</v>
      </c>
      <c r="N95" s="3">
        <v>1.58</v>
      </c>
      <c r="O95" s="3">
        <v>3.13</v>
      </c>
      <c r="P95" s="3">
        <v>3.15</v>
      </c>
      <c r="Q95" s="91">
        <v>2.89</v>
      </c>
    </row>
    <row r="96" spans="1:30" x14ac:dyDescent="0.2">
      <c r="A96" s="95" t="s">
        <v>116</v>
      </c>
      <c r="B96" s="3">
        <v>2.0499999999999998</v>
      </c>
      <c r="C96" s="3">
        <v>1.32</v>
      </c>
      <c r="D96" s="6">
        <v>1.7</v>
      </c>
      <c r="E96" s="3" t="s">
        <v>22</v>
      </c>
      <c r="F96" s="6">
        <v>1.4</v>
      </c>
      <c r="G96" s="3">
        <v>1.64</v>
      </c>
      <c r="H96" s="3">
        <v>1.49</v>
      </c>
      <c r="I96" s="3">
        <v>3.72</v>
      </c>
      <c r="J96" s="128">
        <v>2.8571428571428572</v>
      </c>
      <c r="K96" s="128">
        <v>4.3452380952380949</v>
      </c>
      <c r="L96" s="3">
        <v>2.13</v>
      </c>
      <c r="M96" s="3">
        <v>1.74</v>
      </c>
      <c r="N96" s="3">
        <v>1.62</v>
      </c>
      <c r="O96" s="3">
        <v>3.11</v>
      </c>
      <c r="P96" s="3">
        <v>3.15</v>
      </c>
      <c r="Q96" s="91">
        <v>3.02</v>
      </c>
    </row>
    <row r="97" spans="1:17" x14ac:dyDescent="0.2">
      <c r="A97" s="95" t="s">
        <v>117</v>
      </c>
      <c r="B97" s="3">
        <v>2.17</v>
      </c>
      <c r="C97" s="3">
        <v>1.32</v>
      </c>
      <c r="D97" s="3">
        <v>1.69</v>
      </c>
      <c r="E97" s="3" t="s">
        <v>22</v>
      </c>
      <c r="F97" s="6">
        <v>1.4</v>
      </c>
      <c r="G97" s="3">
        <v>1.65</v>
      </c>
      <c r="H97" s="6">
        <v>1.5</v>
      </c>
      <c r="I97" s="6">
        <v>3.77</v>
      </c>
      <c r="J97" s="128">
        <v>2.93</v>
      </c>
      <c r="K97" s="128">
        <v>4.43</v>
      </c>
      <c r="L97" s="6">
        <v>2.09</v>
      </c>
      <c r="M97" s="6">
        <v>1.7</v>
      </c>
      <c r="N97" s="6">
        <v>1.6</v>
      </c>
      <c r="O97" s="3">
        <v>3.17</v>
      </c>
      <c r="P97" s="3">
        <v>3.21</v>
      </c>
      <c r="Q97" s="96">
        <v>3</v>
      </c>
    </row>
    <row r="98" spans="1:17" x14ac:dyDescent="0.2">
      <c r="A98" s="95" t="s">
        <v>118</v>
      </c>
      <c r="B98" s="6">
        <v>2.0521356783919598</v>
      </c>
      <c r="C98" s="6">
        <v>1.3193910730121194</v>
      </c>
      <c r="D98" s="3">
        <v>1.68</v>
      </c>
      <c r="E98" s="3" t="s">
        <v>22</v>
      </c>
      <c r="F98" s="6">
        <v>1.4</v>
      </c>
      <c r="G98" s="3">
        <v>1.66</v>
      </c>
      <c r="H98" s="3">
        <v>1.48</v>
      </c>
      <c r="I98" s="3">
        <v>3.94</v>
      </c>
      <c r="J98" s="128">
        <v>2.9819277108433737</v>
      </c>
      <c r="K98" s="128">
        <v>4.5783132530120483</v>
      </c>
      <c r="L98" s="3">
        <v>2.13</v>
      </c>
      <c r="M98" s="3">
        <v>1.62</v>
      </c>
      <c r="N98" s="3">
        <v>1.53</v>
      </c>
      <c r="O98" s="3">
        <v>3.24</v>
      </c>
      <c r="P98" s="3">
        <v>3.21</v>
      </c>
      <c r="Q98" s="96">
        <v>3</v>
      </c>
    </row>
    <row r="99" spans="1:17" x14ac:dyDescent="0.2">
      <c r="A99" s="95" t="s">
        <v>119</v>
      </c>
      <c r="B99" s="6">
        <v>2.3707840236686391</v>
      </c>
      <c r="C99" s="6">
        <v>1.4534689349112426</v>
      </c>
      <c r="D99" s="3">
        <v>1.65</v>
      </c>
      <c r="E99" s="6">
        <v>1.6</v>
      </c>
      <c r="F99" s="3">
        <v>1.39</v>
      </c>
      <c r="G99" s="3">
        <v>1.65</v>
      </c>
      <c r="H99" s="3">
        <v>1.47</v>
      </c>
      <c r="I99" s="6">
        <v>4.0674463937621832</v>
      </c>
      <c r="J99" s="128">
        <v>3.0990000000000002</v>
      </c>
      <c r="K99" s="128">
        <v>4.9119999999999999</v>
      </c>
      <c r="L99" s="3">
        <v>2.2200000000000002</v>
      </c>
      <c r="M99" s="3">
        <v>1.68</v>
      </c>
      <c r="N99" s="3">
        <v>1.55</v>
      </c>
      <c r="O99" s="3">
        <v>3.15</v>
      </c>
      <c r="P99" s="3">
        <v>3.14</v>
      </c>
      <c r="Q99" s="91">
        <v>2.93</v>
      </c>
    </row>
    <row r="100" spans="1:17" x14ac:dyDescent="0.2">
      <c r="A100" s="95" t="s">
        <v>120</v>
      </c>
      <c r="B100" s="3">
        <v>2.35</v>
      </c>
      <c r="C100" s="3">
        <v>1.38</v>
      </c>
      <c r="D100" s="3">
        <v>1.62</v>
      </c>
      <c r="E100" s="3">
        <v>1.58</v>
      </c>
      <c r="F100" s="3">
        <v>1.38</v>
      </c>
      <c r="G100" s="3">
        <v>1.67</v>
      </c>
      <c r="H100" s="3">
        <v>1.52</v>
      </c>
      <c r="I100" s="6">
        <v>4.4478431372549023</v>
      </c>
      <c r="J100" s="128">
        <v>3.2941176470588234</v>
      </c>
      <c r="K100" s="128">
        <v>5.1764705882352944</v>
      </c>
      <c r="L100" s="6">
        <v>2.2000000000000002</v>
      </c>
      <c r="M100" s="3">
        <v>1.75</v>
      </c>
      <c r="N100" s="3">
        <v>1.63</v>
      </c>
      <c r="O100" s="3">
        <v>3.05</v>
      </c>
      <c r="P100" s="3">
        <v>3.07</v>
      </c>
      <c r="Q100" s="91">
        <v>2.86</v>
      </c>
    </row>
    <row r="101" spans="1:17" x14ac:dyDescent="0.2">
      <c r="A101" s="95" t="s">
        <v>121</v>
      </c>
      <c r="B101" s="8">
        <v>2.4198150887573968</v>
      </c>
      <c r="C101" s="8">
        <v>1.4893984220907295</v>
      </c>
      <c r="D101" s="6">
        <v>1.6</v>
      </c>
      <c r="E101" s="6">
        <v>1.56</v>
      </c>
      <c r="F101" s="3">
        <v>1.37</v>
      </c>
      <c r="G101" s="6">
        <v>1.7</v>
      </c>
      <c r="H101" s="3">
        <v>1.47</v>
      </c>
      <c r="I101" s="6">
        <v>4.6015873015873012</v>
      </c>
      <c r="J101" s="128">
        <v>3.3928571428571432</v>
      </c>
      <c r="K101" s="128">
        <v>5.3571428571428577</v>
      </c>
      <c r="L101" s="6">
        <f>0.9761/0.45436</f>
        <v>2.1482965049740295</v>
      </c>
      <c r="M101" s="3">
        <v>1.73</v>
      </c>
      <c r="N101" s="3">
        <v>1.62</v>
      </c>
      <c r="O101" s="6">
        <f>3.24*0.976</f>
        <v>3.1622400000000002</v>
      </c>
      <c r="P101" s="6">
        <f>3.24*0.976</f>
        <v>3.1622400000000002</v>
      </c>
      <c r="Q101" s="91">
        <v>2.86</v>
      </c>
    </row>
    <row r="102" spans="1:17" x14ac:dyDescent="0.2">
      <c r="A102" s="95" t="s">
        <v>122</v>
      </c>
      <c r="B102" s="3">
        <v>2.34</v>
      </c>
      <c r="C102" s="3">
        <v>1.47</v>
      </c>
      <c r="D102" s="3">
        <v>1.58</v>
      </c>
      <c r="E102" s="3">
        <v>1.55</v>
      </c>
      <c r="F102" s="3">
        <v>1.34</v>
      </c>
      <c r="G102" s="3">
        <v>1.72</v>
      </c>
      <c r="H102" s="3">
        <v>1.55</v>
      </c>
      <c r="I102" s="3">
        <v>4.37</v>
      </c>
      <c r="J102" s="129">
        <v>3.1</v>
      </c>
      <c r="K102" s="128">
        <v>5.29</v>
      </c>
      <c r="L102" s="3">
        <v>2.16</v>
      </c>
      <c r="M102" s="6">
        <v>1.8</v>
      </c>
      <c r="N102" s="3">
        <v>1.68</v>
      </c>
      <c r="O102" s="3">
        <v>3.15</v>
      </c>
      <c r="P102" s="3">
        <v>3.17</v>
      </c>
      <c r="Q102" s="91">
        <v>2.98</v>
      </c>
    </row>
    <row r="103" spans="1:17" x14ac:dyDescent="0.2">
      <c r="A103" s="95" t="s">
        <v>123</v>
      </c>
      <c r="B103" s="3">
        <v>2.38</v>
      </c>
      <c r="C103" s="6">
        <v>1.5</v>
      </c>
      <c r="D103" s="3">
        <v>1.54</v>
      </c>
      <c r="E103" s="3">
        <v>1.52</v>
      </c>
      <c r="F103" s="3">
        <v>1.32</v>
      </c>
      <c r="G103" s="3">
        <v>1.67</v>
      </c>
      <c r="H103" s="3">
        <v>1.49</v>
      </c>
      <c r="I103" s="3">
        <v>4.26</v>
      </c>
      <c r="J103" s="128">
        <v>2.97</v>
      </c>
      <c r="K103" s="128">
        <v>5.17</v>
      </c>
      <c r="L103" s="3">
        <v>2.16</v>
      </c>
      <c r="M103" s="3">
        <v>1.82</v>
      </c>
      <c r="N103" s="6">
        <v>1.7</v>
      </c>
      <c r="O103" s="3">
        <v>3.09</v>
      </c>
      <c r="P103" s="3">
        <v>3.12</v>
      </c>
      <c r="Q103" s="91">
        <v>2.92</v>
      </c>
    </row>
    <row r="104" spans="1:17" x14ac:dyDescent="0.2">
      <c r="A104" s="95" t="s">
        <v>124</v>
      </c>
      <c r="B104" s="3">
        <v>2.39</v>
      </c>
      <c r="C104" s="3">
        <v>1.99</v>
      </c>
      <c r="D104" s="3">
        <v>1.53</v>
      </c>
      <c r="E104" s="3">
        <v>1.51</v>
      </c>
      <c r="F104" s="6">
        <v>1.3</v>
      </c>
      <c r="G104" s="3">
        <v>1.72</v>
      </c>
      <c r="H104" s="3">
        <v>1.55</v>
      </c>
      <c r="I104" s="3">
        <v>4.17</v>
      </c>
      <c r="J104" s="128">
        <v>2.6</v>
      </c>
      <c r="K104" s="128">
        <v>5.03</v>
      </c>
      <c r="L104" s="3">
        <v>2.2200000000000002</v>
      </c>
      <c r="M104" s="3">
        <v>1.84</v>
      </c>
      <c r="N104" s="3">
        <v>1.72</v>
      </c>
      <c r="O104" s="3">
        <v>3.07</v>
      </c>
      <c r="P104" s="3">
        <v>3.12</v>
      </c>
      <c r="Q104" s="96">
        <v>2.8</v>
      </c>
    </row>
    <row r="105" spans="1:17" x14ac:dyDescent="0.2">
      <c r="A105" s="95" t="s">
        <v>125</v>
      </c>
      <c r="B105" s="6">
        <v>2.3730000000000002</v>
      </c>
      <c r="C105" s="6">
        <v>2.1040000000000001</v>
      </c>
      <c r="D105" s="3">
        <v>1.52</v>
      </c>
      <c r="E105" s="6">
        <v>1.5</v>
      </c>
      <c r="F105" s="3">
        <v>1.29</v>
      </c>
      <c r="G105" s="3">
        <v>1.82</v>
      </c>
      <c r="H105" s="3">
        <v>1.61</v>
      </c>
      <c r="I105" s="3">
        <v>4.05</v>
      </c>
      <c r="J105" s="128">
        <v>2.6706231454005933</v>
      </c>
      <c r="K105" s="128">
        <v>4.9258160237388724</v>
      </c>
      <c r="L105" s="3">
        <v>2.25</v>
      </c>
      <c r="M105" s="3">
        <v>1.94</v>
      </c>
      <c r="N105" s="3">
        <v>1.75</v>
      </c>
      <c r="O105" s="3">
        <v>3.09</v>
      </c>
      <c r="P105" s="3">
        <v>3.14</v>
      </c>
      <c r="Q105" s="91">
        <v>2.75</v>
      </c>
    </row>
    <row r="106" spans="1:17" x14ac:dyDescent="0.2">
      <c r="A106" s="95" t="s">
        <v>126</v>
      </c>
      <c r="B106" s="3">
        <v>2.35</v>
      </c>
      <c r="C106" s="6">
        <v>2.1</v>
      </c>
      <c r="D106" s="3">
        <v>1.51</v>
      </c>
      <c r="E106" s="6">
        <v>1.5</v>
      </c>
      <c r="F106" s="3">
        <v>1.28</v>
      </c>
      <c r="G106" s="3">
        <v>1.83</v>
      </c>
      <c r="H106" s="3">
        <v>1.62</v>
      </c>
      <c r="I106" s="6">
        <v>4.125</v>
      </c>
      <c r="J106" s="128">
        <v>2.83</v>
      </c>
      <c r="K106" s="128">
        <v>5.13</v>
      </c>
      <c r="L106" s="3">
        <v>2.2200000000000002</v>
      </c>
      <c r="M106" s="3">
        <v>1.95</v>
      </c>
      <c r="N106" s="3">
        <v>1.88</v>
      </c>
      <c r="O106" s="3">
        <v>3.11</v>
      </c>
      <c r="P106" s="3">
        <v>3.15</v>
      </c>
      <c r="Q106" s="91">
        <v>2.75</v>
      </c>
    </row>
    <row r="107" spans="1:17" x14ac:dyDescent="0.2">
      <c r="A107" s="95" t="s">
        <v>127</v>
      </c>
      <c r="B107" s="3">
        <v>2.31</v>
      </c>
      <c r="C107" s="6">
        <v>1.9</v>
      </c>
      <c r="D107" s="3">
        <v>1.51</v>
      </c>
      <c r="E107" s="6">
        <v>1.5</v>
      </c>
      <c r="F107" s="6">
        <v>1.3</v>
      </c>
      <c r="G107" s="3">
        <v>1.88</v>
      </c>
      <c r="H107" s="3">
        <v>1.65</v>
      </c>
      <c r="I107" s="3">
        <v>4.07</v>
      </c>
      <c r="J107" s="128">
        <v>2.74</v>
      </c>
      <c r="K107" s="128">
        <v>5.0199999999999996</v>
      </c>
      <c r="L107" s="6">
        <v>2.2000000000000002</v>
      </c>
      <c r="M107" s="3">
        <v>1.84</v>
      </c>
      <c r="N107" s="3">
        <v>1.74</v>
      </c>
      <c r="O107" s="3">
        <v>3.11</v>
      </c>
      <c r="P107" s="3">
        <v>3.16</v>
      </c>
      <c r="Q107" s="96">
        <v>2.7</v>
      </c>
    </row>
    <row r="108" spans="1:17" x14ac:dyDescent="0.2">
      <c r="A108" s="95" t="s">
        <v>128</v>
      </c>
      <c r="B108" s="3">
        <v>2.21</v>
      </c>
      <c r="C108" s="3">
        <v>1.94</v>
      </c>
      <c r="D108" s="3">
        <v>1.54</v>
      </c>
      <c r="E108" s="3">
        <v>1.52</v>
      </c>
      <c r="F108" s="3">
        <v>1.35</v>
      </c>
      <c r="G108" s="3">
        <v>1.89</v>
      </c>
      <c r="H108" s="3">
        <v>1.66</v>
      </c>
      <c r="I108" s="3">
        <v>4.18</v>
      </c>
      <c r="J108" s="128">
        <v>2.6</v>
      </c>
      <c r="K108" s="128">
        <v>4.96</v>
      </c>
      <c r="L108" s="3">
        <v>2.2599999999999998</v>
      </c>
      <c r="M108" s="3">
        <v>1.94</v>
      </c>
      <c r="N108" s="3">
        <v>1.81</v>
      </c>
      <c r="O108" s="3">
        <v>3.11</v>
      </c>
      <c r="P108" s="3">
        <v>3.16</v>
      </c>
      <c r="Q108" s="96">
        <v>2.7</v>
      </c>
    </row>
    <row r="109" spans="1:17" x14ac:dyDescent="0.2">
      <c r="A109" s="95" t="s">
        <v>129</v>
      </c>
      <c r="B109" s="3">
        <v>2.13</v>
      </c>
      <c r="C109" s="3">
        <v>1.78</v>
      </c>
      <c r="D109" s="6">
        <v>1.6</v>
      </c>
      <c r="E109" s="3">
        <v>1.57</v>
      </c>
      <c r="F109" s="3">
        <v>1.37</v>
      </c>
      <c r="G109" s="3">
        <v>1.89</v>
      </c>
      <c r="H109" s="3">
        <v>1.68</v>
      </c>
      <c r="I109" s="3">
        <v>4.1399999999999997</v>
      </c>
      <c r="J109" s="128">
        <v>2.73</v>
      </c>
      <c r="K109" s="128">
        <v>5.15</v>
      </c>
      <c r="L109" s="3">
        <v>2.34</v>
      </c>
      <c r="M109" s="3">
        <v>1.93</v>
      </c>
      <c r="N109" s="3">
        <v>1.82</v>
      </c>
      <c r="O109" s="3" t="s">
        <v>22</v>
      </c>
      <c r="P109" s="3" t="s">
        <v>22</v>
      </c>
      <c r="Q109" s="91" t="s">
        <v>22</v>
      </c>
    </row>
    <row r="110" spans="1:17" x14ac:dyDescent="0.2">
      <c r="A110" s="95" t="s">
        <v>130</v>
      </c>
      <c r="B110" s="6">
        <v>2.2000000000000002</v>
      </c>
      <c r="C110" s="3">
        <v>1.88</v>
      </c>
      <c r="D110" s="21">
        <v>1.62</v>
      </c>
      <c r="E110" s="3">
        <v>1.58</v>
      </c>
      <c r="F110" s="6">
        <v>1.4</v>
      </c>
      <c r="G110" s="3">
        <v>1.83</v>
      </c>
      <c r="H110" s="3">
        <v>1.66</v>
      </c>
      <c r="I110" s="3">
        <v>4.07</v>
      </c>
      <c r="J110" s="128">
        <v>2.79</v>
      </c>
      <c r="K110" s="128">
        <v>4.92</v>
      </c>
      <c r="L110" s="3">
        <v>2.3199999999999998</v>
      </c>
      <c r="M110" s="3">
        <v>1.97</v>
      </c>
      <c r="N110" s="6">
        <v>1.9</v>
      </c>
      <c r="O110" s="3" t="s">
        <v>22</v>
      </c>
      <c r="P110" s="3" t="s">
        <v>22</v>
      </c>
      <c r="Q110" s="96">
        <v>2.8</v>
      </c>
    </row>
    <row r="111" spans="1:17" x14ac:dyDescent="0.2">
      <c r="A111" s="95" t="s">
        <v>131</v>
      </c>
      <c r="B111" s="3">
        <v>2.14</v>
      </c>
      <c r="C111" s="6">
        <v>1.9</v>
      </c>
      <c r="D111" s="21">
        <v>1.65</v>
      </c>
      <c r="E111" s="3">
        <v>1.58</v>
      </c>
      <c r="F111" s="6">
        <v>1.4</v>
      </c>
      <c r="G111" s="3">
        <v>1.91</v>
      </c>
      <c r="H111" s="3">
        <v>1.67</v>
      </c>
      <c r="I111" s="3">
        <v>4.04</v>
      </c>
      <c r="J111" s="128">
        <v>2.79</v>
      </c>
      <c r="K111" s="128">
        <v>4.8</v>
      </c>
      <c r="L111" s="3">
        <v>2.37</v>
      </c>
      <c r="M111" s="3" t="s">
        <v>132</v>
      </c>
      <c r="N111" s="3" t="s">
        <v>132</v>
      </c>
      <c r="O111" s="3">
        <v>3.24</v>
      </c>
      <c r="P111" s="3">
        <v>3.22</v>
      </c>
      <c r="Q111" s="91">
        <v>2.83</v>
      </c>
    </row>
    <row r="112" spans="1:17" x14ac:dyDescent="0.2">
      <c r="A112" s="95" t="s">
        <v>133</v>
      </c>
      <c r="B112" s="3">
        <v>2.12</v>
      </c>
      <c r="C112" s="28">
        <v>1.8</v>
      </c>
      <c r="D112" s="33">
        <v>1.67</v>
      </c>
      <c r="E112" s="28">
        <v>1.6</v>
      </c>
      <c r="F112" s="3">
        <v>1.42</v>
      </c>
      <c r="G112" s="3">
        <v>1.97</v>
      </c>
      <c r="H112" s="3">
        <v>1.76</v>
      </c>
      <c r="I112" s="29">
        <v>4.0999999999999996</v>
      </c>
      <c r="J112" s="130">
        <v>2.8</v>
      </c>
      <c r="K112" s="128">
        <v>4.72</v>
      </c>
      <c r="L112" s="3">
        <v>2.37</v>
      </c>
      <c r="M112" s="3">
        <v>1.92</v>
      </c>
      <c r="N112" s="6">
        <v>1.8</v>
      </c>
      <c r="O112" s="3">
        <v>3.26</v>
      </c>
      <c r="P112" s="3">
        <v>3.27</v>
      </c>
      <c r="Q112" s="91">
        <v>2.86</v>
      </c>
    </row>
    <row r="113" spans="1:20" x14ac:dyDescent="0.2">
      <c r="A113" s="95" t="s">
        <v>134</v>
      </c>
      <c r="B113" s="3">
        <v>2.15</v>
      </c>
      <c r="C113" s="3">
        <v>1.86</v>
      </c>
      <c r="D113" s="26">
        <v>1.7</v>
      </c>
      <c r="E113" s="3">
        <v>1.61</v>
      </c>
      <c r="F113" s="3">
        <v>1.45</v>
      </c>
      <c r="G113" s="3">
        <v>2.0499999999999998</v>
      </c>
      <c r="H113" s="3">
        <v>1.81</v>
      </c>
      <c r="I113" s="3">
        <v>4.03</v>
      </c>
      <c r="J113" s="128">
        <v>2.91</v>
      </c>
      <c r="K113" s="128">
        <v>4.6900000000000004</v>
      </c>
      <c r="L113" s="6">
        <v>2.2999999999999998</v>
      </c>
      <c r="M113" s="3">
        <v>2.0299999999999998</v>
      </c>
      <c r="N113" s="3">
        <v>1.87</v>
      </c>
      <c r="O113" s="3">
        <v>3.36</v>
      </c>
      <c r="P113" s="3">
        <v>3.29</v>
      </c>
      <c r="Q113" s="91">
        <v>3.03</v>
      </c>
    </row>
    <row r="114" spans="1:20" x14ac:dyDescent="0.2">
      <c r="A114" s="95" t="s">
        <v>135</v>
      </c>
      <c r="B114" s="3">
        <v>2.27</v>
      </c>
      <c r="C114" s="3">
        <v>1.91</v>
      </c>
      <c r="D114" s="21">
        <v>1.75</v>
      </c>
      <c r="E114" s="3">
        <v>1.68</v>
      </c>
      <c r="F114" s="3">
        <v>1.47</v>
      </c>
      <c r="G114" s="3">
        <v>2.04</v>
      </c>
      <c r="H114" s="6">
        <v>1.8</v>
      </c>
      <c r="I114" s="27">
        <v>4.08</v>
      </c>
      <c r="J114" s="128">
        <v>2.98</v>
      </c>
      <c r="K114" s="128">
        <v>4.7699999999999996</v>
      </c>
      <c r="L114" s="3">
        <v>2.33</v>
      </c>
      <c r="M114" s="6">
        <v>1.9</v>
      </c>
      <c r="N114" s="3">
        <v>1.81</v>
      </c>
      <c r="O114" s="3">
        <v>3.37</v>
      </c>
      <c r="P114" s="3">
        <v>3.45</v>
      </c>
      <c r="Q114" s="91">
        <v>3.05</v>
      </c>
    </row>
    <row r="115" spans="1:20" x14ac:dyDescent="0.2">
      <c r="A115" s="95" t="s">
        <v>136</v>
      </c>
      <c r="B115" s="3">
        <v>2.2799999999999998</v>
      </c>
      <c r="C115" s="3">
        <v>2.0099999999999998</v>
      </c>
      <c r="D115" s="26">
        <v>1.9</v>
      </c>
      <c r="E115" s="3">
        <v>1.85</v>
      </c>
      <c r="F115" s="3">
        <v>1.54</v>
      </c>
      <c r="G115" s="3">
        <v>2.04</v>
      </c>
      <c r="H115" s="3">
        <v>1.81</v>
      </c>
      <c r="I115" s="3">
        <v>4.1399999999999997</v>
      </c>
      <c r="J115" s="128">
        <v>3.05</v>
      </c>
      <c r="K115" s="128">
        <v>4.79</v>
      </c>
      <c r="L115" s="3">
        <v>2.34</v>
      </c>
      <c r="M115" s="3">
        <v>1.98</v>
      </c>
      <c r="N115" s="3">
        <v>1.79</v>
      </c>
      <c r="O115" s="3">
        <v>3.36</v>
      </c>
      <c r="P115" s="3">
        <v>3.44</v>
      </c>
      <c r="Q115" s="91">
        <v>3.08</v>
      </c>
    </row>
    <row r="116" spans="1:20" x14ac:dyDescent="0.2">
      <c r="A116" s="95" t="s">
        <v>137</v>
      </c>
      <c r="B116" s="3">
        <v>2.36</v>
      </c>
      <c r="C116" s="3">
        <v>2.0699999999999998</v>
      </c>
      <c r="D116" s="21">
        <v>2.0099999999999998</v>
      </c>
      <c r="E116" s="3">
        <v>1.95</v>
      </c>
      <c r="F116" s="3" t="s">
        <v>22</v>
      </c>
      <c r="G116" s="3">
        <v>2.0299999999999998</v>
      </c>
      <c r="H116" s="3">
        <v>1.91</v>
      </c>
      <c r="I116" s="3">
        <v>4.1900000000000004</v>
      </c>
      <c r="J116" s="128">
        <v>3.19</v>
      </c>
      <c r="K116" s="128">
        <v>4.7</v>
      </c>
      <c r="L116" s="3">
        <v>2.42</v>
      </c>
      <c r="M116" s="3">
        <v>1.91</v>
      </c>
      <c r="N116" s="3">
        <v>1.76</v>
      </c>
      <c r="O116" s="3">
        <v>3.35</v>
      </c>
      <c r="P116" s="3">
        <v>3.42</v>
      </c>
      <c r="Q116" s="91">
        <v>3.01</v>
      </c>
    </row>
    <row r="117" spans="1:20" x14ac:dyDescent="0.2">
      <c r="A117" s="95" t="s">
        <v>138</v>
      </c>
      <c r="B117" s="3">
        <v>2.34</v>
      </c>
      <c r="C117" s="3">
        <v>2.06</v>
      </c>
      <c r="D117" s="21">
        <v>2.15</v>
      </c>
      <c r="E117" s="3">
        <v>2.08</v>
      </c>
      <c r="F117" s="3" t="s">
        <v>22</v>
      </c>
      <c r="G117" s="3">
        <v>2.04</v>
      </c>
      <c r="H117" s="3">
        <v>1.92</v>
      </c>
      <c r="I117" s="3">
        <v>4.22</v>
      </c>
      <c r="J117" s="128">
        <v>3.19</v>
      </c>
      <c r="K117" s="128">
        <v>4.6399999999999997</v>
      </c>
      <c r="L117" s="3">
        <v>2.4500000000000002</v>
      </c>
      <c r="M117" s="3">
        <v>1.98</v>
      </c>
      <c r="N117" s="3">
        <v>1.87</v>
      </c>
      <c r="O117" s="3">
        <v>3.37</v>
      </c>
      <c r="P117" s="3">
        <v>3.45</v>
      </c>
      <c r="Q117" s="91">
        <v>3.09</v>
      </c>
    </row>
    <row r="118" spans="1:20" x14ac:dyDescent="0.2">
      <c r="A118" s="95" t="s">
        <v>139</v>
      </c>
      <c r="B118" s="3">
        <v>2.37</v>
      </c>
      <c r="C118" s="3">
        <v>2.12</v>
      </c>
      <c r="D118" s="21" t="s">
        <v>22</v>
      </c>
      <c r="E118" s="3" t="s">
        <v>22</v>
      </c>
      <c r="F118" s="3" t="s">
        <v>22</v>
      </c>
      <c r="G118" s="3">
        <v>2.13</v>
      </c>
      <c r="H118" s="3">
        <v>1.95</v>
      </c>
      <c r="I118" s="3">
        <v>4.21</v>
      </c>
      <c r="J118" s="128">
        <v>3.19</v>
      </c>
      <c r="K118" s="128">
        <v>4.58</v>
      </c>
      <c r="L118" s="3">
        <v>2.48</v>
      </c>
      <c r="M118" s="3">
        <v>2.0699999999999998</v>
      </c>
      <c r="N118" s="3">
        <v>1.98</v>
      </c>
      <c r="O118" s="3">
        <v>3.43</v>
      </c>
      <c r="P118" s="3">
        <v>3.51</v>
      </c>
      <c r="Q118" s="91">
        <v>3.09</v>
      </c>
    </row>
    <row r="119" spans="1:20" s="30" customFormat="1" x14ac:dyDescent="0.2">
      <c r="A119" s="95" t="s">
        <v>140</v>
      </c>
      <c r="B119" s="6">
        <v>2.415</v>
      </c>
      <c r="C119" s="6">
        <v>2.0649999999999999</v>
      </c>
      <c r="D119" s="21">
        <v>2.13</v>
      </c>
      <c r="E119" s="3" t="s">
        <v>22</v>
      </c>
      <c r="F119" s="6">
        <v>1.9</v>
      </c>
      <c r="G119" s="3">
        <v>2.04</v>
      </c>
      <c r="H119" s="3">
        <v>1.79</v>
      </c>
      <c r="I119" s="3">
        <v>4.22</v>
      </c>
      <c r="J119" s="128">
        <v>3.37</v>
      </c>
      <c r="K119" s="128">
        <v>4.8099999999999996</v>
      </c>
      <c r="L119" s="3">
        <v>2.4700000000000002</v>
      </c>
      <c r="M119" s="3">
        <v>2.0099999999999998</v>
      </c>
      <c r="N119" s="3">
        <v>1.83</v>
      </c>
      <c r="O119" s="3">
        <v>3.39</v>
      </c>
      <c r="P119" s="3">
        <v>3.47</v>
      </c>
      <c r="Q119" s="91">
        <v>3.15</v>
      </c>
      <c r="R119" s="40"/>
      <c r="S119" s="40"/>
      <c r="T119" s="22"/>
    </row>
    <row r="120" spans="1:20" x14ac:dyDescent="0.2">
      <c r="A120" s="95" t="s">
        <v>141</v>
      </c>
      <c r="B120" s="3">
        <v>2.48</v>
      </c>
      <c r="C120" s="6">
        <v>2.2000000000000002</v>
      </c>
      <c r="D120" s="21">
        <v>2.21</v>
      </c>
      <c r="E120" s="3">
        <v>1.97</v>
      </c>
      <c r="F120" s="3">
        <v>1.84</v>
      </c>
      <c r="G120" s="3">
        <v>1.98</v>
      </c>
      <c r="H120" s="3">
        <v>1.77</v>
      </c>
      <c r="I120" s="6">
        <v>4.2060000000000004</v>
      </c>
      <c r="J120" s="128">
        <v>3.3530000000000002</v>
      </c>
      <c r="K120" s="128">
        <v>4.7309999999999999</v>
      </c>
      <c r="L120" s="3">
        <v>2.52</v>
      </c>
      <c r="M120" s="3">
        <v>1.94</v>
      </c>
      <c r="N120" s="3">
        <v>1.64</v>
      </c>
      <c r="O120" s="3">
        <v>3.35</v>
      </c>
      <c r="P120" s="6">
        <v>3.4</v>
      </c>
      <c r="Q120" s="91">
        <v>3.13</v>
      </c>
      <c r="T120" s="85"/>
    </row>
    <row r="121" spans="1:20" x14ac:dyDescent="0.2">
      <c r="A121" s="97" t="s">
        <v>142</v>
      </c>
      <c r="B121" s="19">
        <v>2.41</v>
      </c>
      <c r="C121" s="19">
        <v>2.0699999999999998</v>
      </c>
      <c r="D121" s="34">
        <v>2.19</v>
      </c>
      <c r="E121" s="35">
        <v>2</v>
      </c>
      <c r="F121" s="19">
        <v>1.99</v>
      </c>
      <c r="G121" s="35">
        <v>2</v>
      </c>
      <c r="H121" s="19">
        <v>1.78</v>
      </c>
      <c r="I121" s="19">
        <v>4.17</v>
      </c>
      <c r="J121" s="131">
        <v>3.19</v>
      </c>
      <c r="K121" s="131">
        <v>4.58</v>
      </c>
      <c r="L121" s="19">
        <v>2.52</v>
      </c>
      <c r="M121" s="19">
        <v>1.95</v>
      </c>
      <c r="N121" s="19">
        <v>1.83</v>
      </c>
      <c r="O121" s="19">
        <v>3.52</v>
      </c>
      <c r="P121" s="19">
        <v>3.54</v>
      </c>
      <c r="Q121" s="98">
        <v>3.22</v>
      </c>
    </row>
    <row r="122" spans="1:20" s="32" customFormat="1" x14ac:dyDescent="0.2">
      <c r="A122" s="95" t="s">
        <v>143</v>
      </c>
      <c r="B122" s="3">
        <v>2.38</v>
      </c>
      <c r="C122" s="3">
        <v>2.11</v>
      </c>
      <c r="D122" s="3">
        <v>2.17</v>
      </c>
      <c r="E122" s="6">
        <v>2</v>
      </c>
      <c r="F122" s="3">
        <v>1.98</v>
      </c>
      <c r="G122" s="3">
        <v>2.0499999999999998</v>
      </c>
      <c r="H122" s="3">
        <v>1.86</v>
      </c>
      <c r="I122" s="3">
        <v>4.29</v>
      </c>
      <c r="J122" s="128">
        <v>3.29</v>
      </c>
      <c r="K122" s="128">
        <v>4.66</v>
      </c>
      <c r="L122" s="3">
        <v>2.68</v>
      </c>
      <c r="M122" s="3">
        <v>2.12</v>
      </c>
      <c r="N122" s="3">
        <v>2.0499999999999998</v>
      </c>
      <c r="O122" s="3">
        <v>3.58</v>
      </c>
      <c r="P122" s="3">
        <v>3.61</v>
      </c>
      <c r="Q122" s="96">
        <v>3.3</v>
      </c>
      <c r="R122" s="40"/>
      <c r="S122" s="41"/>
      <c r="T122" s="85"/>
    </row>
    <row r="123" spans="1:20" x14ac:dyDescent="0.2">
      <c r="A123" s="95" t="s">
        <v>144</v>
      </c>
      <c r="B123" s="3">
        <v>2.33</v>
      </c>
      <c r="C123" s="3">
        <v>1.86</v>
      </c>
      <c r="D123" s="3">
        <v>2.1800000000000002</v>
      </c>
      <c r="E123" s="6">
        <v>2</v>
      </c>
      <c r="F123" s="37">
        <v>1.98</v>
      </c>
      <c r="G123" s="37">
        <v>2.0699999999999998</v>
      </c>
      <c r="H123" s="37">
        <v>1.88</v>
      </c>
      <c r="I123" s="37">
        <v>4.3899999999999997</v>
      </c>
      <c r="J123" s="132">
        <v>3.5</v>
      </c>
      <c r="K123" s="132">
        <v>4.78</v>
      </c>
      <c r="L123" s="37">
        <v>2.71</v>
      </c>
      <c r="M123" s="36">
        <v>2.2000000000000002</v>
      </c>
      <c r="N123" s="37">
        <v>2.0099999999999998</v>
      </c>
      <c r="O123" s="37">
        <v>3.65</v>
      </c>
      <c r="P123" s="37">
        <v>3.69</v>
      </c>
      <c r="Q123" s="87">
        <v>3.39</v>
      </c>
    </row>
    <row r="124" spans="1:20" x14ac:dyDescent="0.2">
      <c r="A124" s="95" t="s">
        <v>145</v>
      </c>
      <c r="B124" s="3">
        <v>2.2400000000000002</v>
      </c>
      <c r="C124" s="3">
        <v>2.02</v>
      </c>
      <c r="D124" s="3">
        <v>2.1800000000000002</v>
      </c>
      <c r="E124" s="3">
        <v>2.0099999999999998</v>
      </c>
      <c r="F124" s="3">
        <v>1.99</v>
      </c>
      <c r="G124" s="3">
        <v>2.0299999999999998</v>
      </c>
      <c r="H124" s="3">
        <v>1.84</v>
      </c>
      <c r="I124" s="3">
        <v>4.33</v>
      </c>
      <c r="J124" s="128">
        <v>3.4</v>
      </c>
      <c r="K124" s="128">
        <v>4.6500000000000004</v>
      </c>
      <c r="L124" s="3">
        <v>2.63</v>
      </c>
      <c r="M124" s="3">
        <v>2.21</v>
      </c>
      <c r="N124" s="3">
        <v>1.85</v>
      </c>
      <c r="O124" s="3">
        <v>3.67</v>
      </c>
      <c r="P124" s="3">
        <v>3.71</v>
      </c>
      <c r="Q124" s="91">
        <v>3.47</v>
      </c>
    </row>
    <row r="125" spans="1:20" x14ac:dyDescent="0.2">
      <c r="A125" s="97" t="s">
        <v>146</v>
      </c>
      <c r="B125" s="19">
        <v>2.2799999999999998</v>
      </c>
      <c r="C125" s="19">
        <v>2.08</v>
      </c>
      <c r="D125" s="35">
        <v>2.2000000000000002</v>
      </c>
      <c r="E125" s="19">
        <v>2.02</v>
      </c>
      <c r="F125" s="35">
        <v>2</v>
      </c>
      <c r="G125" s="19">
        <v>2.04</v>
      </c>
      <c r="H125" s="19">
        <v>1.85</v>
      </c>
      <c r="I125" s="19">
        <v>4.08</v>
      </c>
      <c r="J125" s="131">
        <v>3.12</v>
      </c>
      <c r="K125" s="131">
        <v>4.41</v>
      </c>
      <c r="L125" s="19">
        <v>2.63</v>
      </c>
      <c r="M125" s="19">
        <v>2.23</v>
      </c>
      <c r="N125" s="19">
        <v>1.84</v>
      </c>
      <c r="O125" s="19">
        <v>3.67</v>
      </c>
      <c r="P125" s="19">
        <v>3.71</v>
      </c>
      <c r="Q125" s="98">
        <v>3.41</v>
      </c>
    </row>
    <row r="126" spans="1:20" x14ac:dyDescent="0.2">
      <c r="A126" s="97" t="s">
        <v>147</v>
      </c>
      <c r="B126" s="19">
        <v>2.4</v>
      </c>
      <c r="C126" s="19">
        <v>1.96</v>
      </c>
      <c r="D126" s="35">
        <v>2.21</v>
      </c>
      <c r="E126" s="19">
        <v>2.0299999999999998</v>
      </c>
      <c r="F126" s="35">
        <v>1.85</v>
      </c>
      <c r="G126" s="19">
        <v>1.95</v>
      </c>
      <c r="H126" s="19">
        <v>1.79</v>
      </c>
      <c r="I126" s="19">
        <v>3.76</v>
      </c>
      <c r="J126" s="131">
        <v>2.97</v>
      </c>
      <c r="K126" s="131">
        <v>4.18</v>
      </c>
      <c r="L126" s="19">
        <v>2.58</v>
      </c>
      <c r="M126" s="19">
        <v>2.2200000000000002</v>
      </c>
      <c r="N126" s="19">
        <v>1.84</v>
      </c>
      <c r="O126" s="19">
        <v>3.79</v>
      </c>
      <c r="P126" s="19">
        <v>3.84</v>
      </c>
      <c r="Q126" s="98">
        <v>3.44</v>
      </c>
    </row>
    <row r="127" spans="1:20" x14ac:dyDescent="0.2">
      <c r="A127" s="95" t="s">
        <v>148</v>
      </c>
      <c r="B127" s="3">
        <v>2.23</v>
      </c>
      <c r="C127" s="3">
        <v>1.95</v>
      </c>
      <c r="D127" s="3">
        <v>2.2400000000000002</v>
      </c>
      <c r="E127" s="3">
        <v>2.08</v>
      </c>
      <c r="F127" s="3">
        <v>1.86</v>
      </c>
      <c r="G127" s="3">
        <v>1.99</v>
      </c>
      <c r="H127" s="3">
        <v>1.86</v>
      </c>
      <c r="I127" s="3">
        <v>4.18</v>
      </c>
      <c r="J127" s="128">
        <v>3.23</v>
      </c>
      <c r="K127" s="128">
        <v>4.72</v>
      </c>
      <c r="L127" s="3">
        <v>2.54</v>
      </c>
      <c r="M127" s="3">
        <v>2.25</v>
      </c>
      <c r="N127" s="3">
        <v>1.85</v>
      </c>
      <c r="O127" s="3">
        <v>3.66</v>
      </c>
      <c r="P127" s="3">
        <v>3.71</v>
      </c>
      <c r="Q127" s="91">
        <v>3.35</v>
      </c>
    </row>
    <row r="128" spans="1:20" x14ac:dyDescent="0.2">
      <c r="A128" s="95" t="s">
        <v>149</v>
      </c>
      <c r="B128" s="6">
        <v>2.2999999999999998</v>
      </c>
      <c r="C128" s="3">
        <v>1.96</v>
      </c>
      <c r="D128" s="3">
        <v>2.2799999999999998</v>
      </c>
      <c r="E128" s="6">
        <v>2.1</v>
      </c>
      <c r="F128" s="3">
        <v>1.87</v>
      </c>
      <c r="G128" s="3">
        <v>1.97</v>
      </c>
      <c r="H128" s="3">
        <v>1.84</v>
      </c>
      <c r="I128" s="3">
        <v>4.12</v>
      </c>
      <c r="J128" s="128">
        <v>3.13</v>
      </c>
      <c r="K128" s="128">
        <v>4.54</v>
      </c>
      <c r="L128" s="6">
        <v>2.5</v>
      </c>
      <c r="M128" s="6">
        <v>2.2000000000000002</v>
      </c>
      <c r="N128" s="3">
        <v>1.83</v>
      </c>
      <c r="O128" s="3">
        <v>3.49</v>
      </c>
      <c r="P128" s="6">
        <v>3.5</v>
      </c>
      <c r="Q128" s="96">
        <v>3.3</v>
      </c>
    </row>
    <row r="129" spans="1:19" x14ac:dyDescent="0.2">
      <c r="A129" s="95" t="s">
        <v>150</v>
      </c>
      <c r="B129" s="3">
        <v>2.19</v>
      </c>
      <c r="C129" s="3">
        <v>2.09</v>
      </c>
      <c r="D129" s="3">
        <v>2.2400000000000002</v>
      </c>
      <c r="E129" s="3">
        <v>2.0699999999999998</v>
      </c>
      <c r="F129" s="3">
        <v>1.85</v>
      </c>
      <c r="G129" s="3">
        <v>2.0299999999999998</v>
      </c>
      <c r="H129" s="3">
        <v>1.79</v>
      </c>
      <c r="I129" s="3">
        <v>4.0599999999999996</v>
      </c>
      <c r="J129" s="128">
        <v>3.09</v>
      </c>
      <c r="K129" s="128">
        <v>4.4400000000000004</v>
      </c>
      <c r="L129" s="3">
        <v>2.39</v>
      </c>
      <c r="M129" s="3">
        <v>2.13</v>
      </c>
      <c r="N129" s="3">
        <v>1.77</v>
      </c>
      <c r="O129" s="3">
        <v>3.47</v>
      </c>
      <c r="P129" s="3">
        <v>3.48</v>
      </c>
      <c r="Q129" s="91">
        <v>3.28</v>
      </c>
    </row>
    <row r="130" spans="1:19" x14ac:dyDescent="0.2">
      <c r="A130" s="95" t="s">
        <v>151</v>
      </c>
      <c r="B130" s="3">
        <v>2.2400000000000002</v>
      </c>
      <c r="C130" s="3">
        <v>2.02</v>
      </c>
      <c r="D130" s="3">
        <v>2.2799999999999998</v>
      </c>
      <c r="E130" s="3">
        <v>2.06</v>
      </c>
      <c r="F130" s="3">
        <v>1.83</v>
      </c>
      <c r="G130" s="3">
        <v>2.09</v>
      </c>
      <c r="H130" s="3">
        <v>1.82</v>
      </c>
      <c r="I130" s="3">
        <v>4.1100000000000003</v>
      </c>
      <c r="J130" s="128">
        <v>3.08</v>
      </c>
      <c r="K130" s="128">
        <v>5.59</v>
      </c>
      <c r="L130" s="3">
        <v>2.31</v>
      </c>
      <c r="M130" s="3">
        <v>2.12</v>
      </c>
      <c r="N130" s="3">
        <v>1.78</v>
      </c>
      <c r="O130" s="3">
        <v>3.45</v>
      </c>
      <c r="P130" s="3">
        <v>3.48</v>
      </c>
      <c r="Q130" s="91">
        <v>3.36</v>
      </c>
    </row>
    <row r="131" spans="1:19" x14ac:dyDescent="0.2">
      <c r="A131" s="95" t="s">
        <v>152</v>
      </c>
      <c r="B131" s="3">
        <v>2.2799999999999998</v>
      </c>
      <c r="C131" s="3">
        <v>1.95</v>
      </c>
      <c r="D131" s="3">
        <v>2.16</v>
      </c>
      <c r="E131" s="3">
        <v>2.0099999999999998</v>
      </c>
      <c r="F131" s="6">
        <v>1.8</v>
      </c>
      <c r="G131" s="3">
        <v>2.08</v>
      </c>
      <c r="H131" s="3">
        <v>1.82</v>
      </c>
      <c r="I131" s="3">
        <v>4.0599999999999996</v>
      </c>
      <c r="J131" s="128">
        <v>3.14</v>
      </c>
      <c r="K131" s="128">
        <v>4.59</v>
      </c>
      <c r="L131" s="3">
        <v>2.31</v>
      </c>
      <c r="M131" s="3">
        <v>2.13</v>
      </c>
      <c r="N131" s="3">
        <v>1.79</v>
      </c>
      <c r="O131" s="6">
        <v>3.4</v>
      </c>
      <c r="P131" s="3">
        <v>3.41</v>
      </c>
      <c r="Q131" s="91">
        <v>3.44</v>
      </c>
    </row>
    <row r="132" spans="1:19" x14ac:dyDescent="0.2">
      <c r="A132" s="95" t="s">
        <v>153</v>
      </c>
      <c r="B132" s="3">
        <v>2.29</v>
      </c>
      <c r="C132" s="3">
        <v>2.04</v>
      </c>
      <c r="D132" s="3">
        <v>2.13</v>
      </c>
      <c r="E132" s="3">
        <v>1.96</v>
      </c>
      <c r="F132" s="6">
        <v>1.8</v>
      </c>
      <c r="G132" s="3">
        <v>2.0499999999999998</v>
      </c>
      <c r="H132" s="6">
        <v>1.8</v>
      </c>
      <c r="I132" s="3">
        <v>4.08</v>
      </c>
      <c r="J132" s="128">
        <v>3.16</v>
      </c>
      <c r="K132" s="128">
        <v>4.62</v>
      </c>
      <c r="L132" s="3">
        <v>2.34</v>
      </c>
      <c r="M132" s="3">
        <v>2.13</v>
      </c>
      <c r="N132" s="3">
        <v>1.77</v>
      </c>
      <c r="O132" s="3">
        <v>3.41</v>
      </c>
      <c r="P132" s="3">
        <v>3.43</v>
      </c>
      <c r="Q132" s="91">
        <v>3.46</v>
      </c>
    </row>
    <row r="133" spans="1:19" s="30" customFormat="1" x14ac:dyDescent="0.2">
      <c r="A133" s="95" t="s">
        <v>154</v>
      </c>
      <c r="B133" s="3">
        <v>2.3199999999999998</v>
      </c>
      <c r="C133" s="3">
        <v>2.15</v>
      </c>
      <c r="D133" s="6">
        <v>2.1</v>
      </c>
      <c r="E133" s="3">
        <v>1.98</v>
      </c>
      <c r="F133" s="6">
        <v>1.8</v>
      </c>
      <c r="G133" s="3">
        <v>2.0499999999999998</v>
      </c>
      <c r="H133" s="3">
        <v>1.79</v>
      </c>
      <c r="I133" s="3">
        <v>4.05</v>
      </c>
      <c r="J133" s="128">
        <v>3.0379999999999998</v>
      </c>
      <c r="K133" s="128">
        <v>4.49</v>
      </c>
      <c r="L133" s="3">
        <v>2.33</v>
      </c>
      <c r="M133" s="3">
        <v>2.12</v>
      </c>
      <c r="N133" s="3">
        <v>1.78</v>
      </c>
      <c r="O133" s="3">
        <v>3.44</v>
      </c>
      <c r="P133" s="3">
        <v>3.45</v>
      </c>
      <c r="Q133" s="91">
        <v>3.23</v>
      </c>
      <c r="R133" s="40"/>
      <c r="S133" s="40"/>
    </row>
    <row r="134" spans="1:19" s="30" customFormat="1" x14ac:dyDescent="0.2">
      <c r="A134" s="95" t="s">
        <v>155</v>
      </c>
      <c r="B134" s="3">
        <v>2.42</v>
      </c>
      <c r="C134" s="3">
        <v>2.2799999999999998</v>
      </c>
      <c r="D134" s="6">
        <v>2.14</v>
      </c>
      <c r="E134" s="3">
        <v>1.97</v>
      </c>
      <c r="F134" s="6">
        <v>1.8</v>
      </c>
      <c r="G134" s="3">
        <v>2.06</v>
      </c>
      <c r="H134" s="6">
        <v>1.8</v>
      </c>
      <c r="I134" s="3">
        <v>4.05</v>
      </c>
      <c r="J134" s="128">
        <v>3</v>
      </c>
      <c r="K134" s="128">
        <v>4.5</v>
      </c>
      <c r="L134" s="3">
        <v>2.31</v>
      </c>
      <c r="M134" s="3">
        <v>2.12</v>
      </c>
      <c r="N134" s="3">
        <v>1.77</v>
      </c>
      <c r="O134" s="3">
        <v>3.32</v>
      </c>
      <c r="P134" s="3">
        <v>3.33</v>
      </c>
      <c r="Q134" s="91">
        <v>3.25</v>
      </c>
      <c r="R134" s="40"/>
      <c r="S134" s="40"/>
    </row>
    <row r="135" spans="1:19" x14ac:dyDescent="0.2">
      <c r="A135" s="95" t="s">
        <v>156</v>
      </c>
      <c r="B135" s="3">
        <v>2.39</v>
      </c>
      <c r="C135" s="3">
        <v>2.0299999999999998</v>
      </c>
      <c r="D135" s="6">
        <v>2.1</v>
      </c>
      <c r="E135" s="3">
        <v>1.94</v>
      </c>
      <c r="F135" s="6">
        <v>1.73</v>
      </c>
      <c r="G135" s="3">
        <v>2.11</v>
      </c>
      <c r="H135" s="3">
        <v>1.82</v>
      </c>
      <c r="I135" s="6">
        <v>3.976</v>
      </c>
      <c r="J135" s="128">
        <v>3</v>
      </c>
      <c r="K135" s="128">
        <v>4.5599999999999996</v>
      </c>
      <c r="L135" s="3">
        <v>2.31</v>
      </c>
      <c r="M135" s="3">
        <v>2.13</v>
      </c>
      <c r="N135" s="3">
        <v>1.79</v>
      </c>
      <c r="O135" s="6">
        <v>3.3</v>
      </c>
      <c r="P135" s="6">
        <v>3.3</v>
      </c>
      <c r="Q135" s="91">
        <v>3.31</v>
      </c>
    </row>
    <row r="136" spans="1:19" x14ac:dyDescent="0.2">
      <c r="A136" s="95" t="s">
        <v>157</v>
      </c>
      <c r="B136" s="3">
        <v>2.2799999999999998</v>
      </c>
      <c r="C136" s="6">
        <v>2</v>
      </c>
      <c r="D136" s="6">
        <v>2.1</v>
      </c>
      <c r="E136" s="3">
        <v>1.94</v>
      </c>
      <c r="F136" s="3">
        <v>1.73</v>
      </c>
      <c r="G136" s="3">
        <v>2.16</v>
      </c>
      <c r="H136" s="6">
        <v>1.9</v>
      </c>
      <c r="I136" s="3">
        <v>4.08</v>
      </c>
      <c r="J136" s="128">
        <v>3.2</v>
      </c>
      <c r="K136" s="128">
        <v>4.6100000000000003</v>
      </c>
      <c r="L136" s="3">
        <v>2.5299999999999998</v>
      </c>
      <c r="M136" s="3">
        <v>2.13</v>
      </c>
      <c r="N136" s="3">
        <v>1.76</v>
      </c>
      <c r="O136" s="3">
        <v>3.29</v>
      </c>
      <c r="P136" s="6">
        <v>3.3</v>
      </c>
      <c r="Q136" s="91">
        <v>3.38</v>
      </c>
    </row>
    <row r="137" spans="1:19" x14ac:dyDescent="0.2">
      <c r="A137" s="95" t="s">
        <v>158</v>
      </c>
      <c r="B137" s="3">
        <v>2.35</v>
      </c>
      <c r="C137" s="3">
        <v>1.85</v>
      </c>
      <c r="D137" s="3">
        <v>2.0699999999999998</v>
      </c>
      <c r="E137" s="3" t="s">
        <v>22</v>
      </c>
      <c r="F137" s="3">
        <v>1.72</v>
      </c>
      <c r="G137" s="6">
        <v>2.1</v>
      </c>
      <c r="H137" s="3">
        <v>1.88</v>
      </c>
      <c r="I137" s="3">
        <v>4.1399999999999997</v>
      </c>
      <c r="J137" s="128">
        <v>3.18</v>
      </c>
      <c r="K137" s="128">
        <v>4.59</v>
      </c>
      <c r="L137" s="3">
        <v>2.44</v>
      </c>
      <c r="M137" s="3">
        <v>2.13</v>
      </c>
      <c r="N137" s="3">
        <v>1.77</v>
      </c>
      <c r="O137" s="3">
        <v>3.26</v>
      </c>
      <c r="P137" s="3">
        <v>3.28</v>
      </c>
      <c r="Q137" s="91">
        <v>3.39</v>
      </c>
    </row>
    <row r="138" spans="1:19" x14ac:dyDescent="0.2">
      <c r="A138" s="95" t="s">
        <v>159</v>
      </c>
      <c r="B138" s="6">
        <v>2.4</v>
      </c>
      <c r="C138" s="6">
        <v>2.1</v>
      </c>
      <c r="D138" s="3">
        <v>2.0499999999999998</v>
      </c>
      <c r="E138" s="3" t="s">
        <v>22</v>
      </c>
      <c r="F138" s="3">
        <v>1.71</v>
      </c>
      <c r="G138" s="3">
        <v>2.1800000000000002</v>
      </c>
      <c r="H138" s="3">
        <v>1.92</v>
      </c>
      <c r="I138" s="3">
        <v>4.3600000000000003</v>
      </c>
      <c r="J138" s="128">
        <v>3.25</v>
      </c>
      <c r="K138" s="128">
        <v>4.8</v>
      </c>
      <c r="L138" s="3">
        <v>2.39</v>
      </c>
      <c r="M138" s="3">
        <v>2.2799999999999998</v>
      </c>
      <c r="N138" s="3">
        <v>1.88</v>
      </c>
      <c r="O138" s="3">
        <v>3.26</v>
      </c>
      <c r="P138" s="3">
        <v>3.27</v>
      </c>
      <c r="Q138" s="91">
        <v>3.42</v>
      </c>
    </row>
    <row r="139" spans="1:19" x14ac:dyDescent="0.2">
      <c r="A139" s="95" t="s">
        <v>160</v>
      </c>
      <c r="B139" s="3">
        <v>2.41</v>
      </c>
      <c r="C139" s="6">
        <v>2</v>
      </c>
      <c r="D139" s="3">
        <v>2.0299999999999998</v>
      </c>
      <c r="E139" s="3" t="s">
        <v>22</v>
      </c>
      <c r="F139" s="3">
        <v>1.71</v>
      </c>
      <c r="G139" s="3">
        <v>2.0699999999999998</v>
      </c>
      <c r="H139" s="3">
        <v>1.85</v>
      </c>
      <c r="I139" s="3">
        <v>4.34</v>
      </c>
      <c r="J139" s="128">
        <v>3.35</v>
      </c>
      <c r="K139" s="128">
        <v>4.97</v>
      </c>
      <c r="L139" s="3">
        <v>2.39</v>
      </c>
      <c r="M139" s="3">
        <v>2.3199999999999998</v>
      </c>
      <c r="N139" s="3">
        <v>1.91</v>
      </c>
      <c r="O139" s="3">
        <v>3.36</v>
      </c>
      <c r="P139" s="3">
        <v>3.37</v>
      </c>
      <c r="Q139" s="91">
        <v>3.47</v>
      </c>
    </row>
    <row r="140" spans="1:19" x14ac:dyDescent="0.2">
      <c r="A140" s="95" t="s">
        <v>161</v>
      </c>
      <c r="B140" s="3">
        <v>2.44</v>
      </c>
      <c r="C140" s="3">
        <v>2.11</v>
      </c>
      <c r="D140" s="3">
        <v>2.0299999999999998</v>
      </c>
      <c r="E140" s="3">
        <v>1.89</v>
      </c>
      <c r="F140" s="3">
        <v>1.71</v>
      </c>
      <c r="G140" s="6">
        <v>2</v>
      </c>
      <c r="H140" s="3">
        <v>1.78</v>
      </c>
      <c r="I140" s="3">
        <v>4.18</v>
      </c>
      <c r="J140" s="128">
        <v>3.11</v>
      </c>
      <c r="K140" s="128">
        <v>4.97</v>
      </c>
      <c r="L140" s="3">
        <v>2.48</v>
      </c>
      <c r="M140" s="3">
        <v>2.36</v>
      </c>
      <c r="N140" s="3">
        <v>1.93</v>
      </c>
      <c r="O140" s="3">
        <v>3.28</v>
      </c>
      <c r="P140" s="3">
        <v>3.31</v>
      </c>
      <c r="Q140" s="91">
        <v>3.28</v>
      </c>
    </row>
    <row r="141" spans="1:19" x14ac:dyDescent="0.2">
      <c r="A141" s="95" t="s">
        <v>162</v>
      </c>
      <c r="B141" s="6">
        <v>2.4</v>
      </c>
      <c r="C141" s="3">
        <v>2.09</v>
      </c>
      <c r="D141" s="3">
        <v>2.06</v>
      </c>
      <c r="E141" s="6">
        <v>1.9</v>
      </c>
      <c r="F141" s="3">
        <v>1.74</v>
      </c>
      <c r="G141" s="3">
        <v>2.0099999999999998</v>
      </c>
      <c r="H141" s="3">
        <v>1.79</v>
      </c>
      <c r="I141" s="3">
        <v>4.16</v>
      </c>
      <c r="J141" s="128">
        <v>2.98</v>
      </c>
      <c r="K141" s="128">
        <v>4.8499999999999996</v>
      </c>
      <c r="L141" s="3">
        <v>2.56</v>
      </c>
      <c r="M141" s="3">
        <v>2.41</v>
      </c>
      <c r="N141" s="3">
        <v>1.93</v>
      </c>
      <c r="O141" s="3">
        <v>3.15</v>
      </c>
      <c r="P141" s="3">
        <v>3.19</v>
      </c>
      <c r="Q141" s="91">
        <v>3.14</v>
      </c>
    </row>
    <row r="142" spans="1:19" x14ac:dyDescent="0.2">
      <c r="A142" s="95" t="s">
        <v>163</v>
      </c>
      <c r="B142" s="3">
        <v>2.44</v>
      </c>
      <c r="C142" s="3">
        <v>2.17</v>
      </c>
      <c r="D142" s="3">
        <v>2.09</v>
      </c>
      <c r="E142" s="3">
        <v>1.92</v>
      </c>
      <c r="F142" s="3">
        <v>1.76</v>
      </c>
      <c r="G142" s="6">
        <v>2</v>
      </c>
      <c r="H142" s="3">
        <v>1.78</v>
      </c>
      <c r="I142" s="3">
        <v>4.13</v>
      </c>
      <c r="J142" s="128" t="s">
        <v>164</v>
      </c>
      <c r="K142" s="128">
        <v>4.87</v>
      </c>
      <c r="L142" s="3">
        <v>2.5099999999999998</v>
      </c>
      <c r="M142" s="3">
        <v>2.4300000000000002</v>
      </c>
      <c r="N142" s="3">
        <v>1.95</v>
      </c>
      <c r="O142" s="3">
        <v>3.15</v>
      </c>
      <c r="P142" s="3">
        <v>3.19</v>
      </c>
      <c r="Q142" s="91">
        <v>3.14</v>
      </c>
    </row>
    <row r="143" spans="1:19" x14ac:dyDescent="0.2">
      <c r="A143" s="95" t="s">
        <v>165</v>
      </c>
      <c r="B143" s="3">
        <v>2.4500000000000002</v>
      </c>
      <c r="C143" s="3">
        <v>2.33</v>
      </c>
      <c r="D143" s="3">
        <v>2.11</v>
      </c>
      <c r="E143" s="3">
        <v>1.93</v>
      </c>
      <c r="F143" s="3">
        <v>1.77</v>
      </c>
      <c r="G143" s="3">
        <v>1.95</v>
      </c>
      <c r="H143" s="3">
        <v>1.76</v>
      </c>
      <c r="I143" s="6">
        <v>4.1020000000000003</v>
      </c>
      <c r="J143" s="128">
        <v>2.87</v>
      </c>
      <c r="K143" s="128">
        <v>4.87</v>
      </c>
      <c r="L143" s="3">
        <v>2.4900000000000002</v>
      </c>
      <c r="M143" s="3">
        <v>2.4500000000000002</v>
      </c>
      <c r="N143" s="3">
        <v>1.96</v>
      </c>
      <c r="O143" s="3">
        <v>3.26</v>
      </c>
      <c r="P143" s="3">
        <v>3.29</v>
      </c>
      <c r="Q143" s="91">
        <v>3.19</v>
      </c>
    </row>
    <row r="144" spans="1:19" x14ac:dyDescent="0.2">
      <c r="A144" s="95" t="s">
        <v>166</v>
      </c>
      <c r="B144" s="3">
        <v>2.46</v>
      </c>
      <c r="C144" s="3">
        <v>2.19</v>
      </c>
      <c r="D144" s="3">
        <v>2.11</v>
      </c>
      <c r="E144" s="3">
        <v>1.93</v>
      </c>
      <c r="F144" s="3">
        <v>1.83</v>
      </c>
      <c r="G144" s="3">
        <v>1.83</v>
      </c>
      <c r="H144" s="3">
        <v>1.65</v>
      </c>
      <c r="I144" s="3">
        <v>3.99</v>
      </c>
      <c r="J144" s="128">
        <v>2.87</v>
      </c>
      <c r="K144" s="128">
        <v>4.88</v>
      </c>
      <c r="L144" s="6">
        <v>2.5</v>
      </c>
      <c r="M144" s="3">
        <v>2.37</v>
      </c>
      <c r="N144" s="3">
        <v>1.98</v>
      </c>
      <c r="O144" s="3">
        <v>3.39</v>
      </c>
      <c r="P144" s="3">
        <v>3.48</v>
      </c>
      <c r="Q144" s="91">
        <v>3.31</v>
      </c>
    </row>
    <row r="145" spans="1:17" x14ac:dyDescent="0.2">
      <c r="A145" s="95" t="s">
        <v>167</v>
      </c>
      <c r="B145" s="3">
        <v>2.4300000000000002</v>
      </c>
      <c r="C145" s="3">
        <v>2.14</v>
      </c>
      <c r="D145" s="3">
        <v>2.0299999999999998</v>
      </c>
      <c r="E145" s="6">
        <v>1.9</v>
      </c>
      <c r="F145" s="3">
        <v>1.76</v>
      </c>
      <c r="G145" s="3">
        <v>1.78</v>
      </c>
      <c r="H145" s="6">
        <v>1.6</v>
      </c>
      <c r="I145" s="3">
        <v>3.88</v>
      </c>
      <c r="J145" s="128">
        <v>2.8</v>
      </c>
      <c r="K145" s="128">
        <v>4.76</v>
      </c>
      <c r="L145" s="3">
        <v>2.59</v>
      </c>
      <c r="M145" s="3">
        <v>2.38</v>
      </c>
      <c r="N145" s="3">
        <v>1.98</v>
      </c>
      <c r="O145" s="3">
        <v>3.44</v>
      </c>
      <c r="P145" s="3">
        <v>3.47</v>
      </c>
      <c r="Q145" s="91">
        <v>3.29</v>
      </c>
    </row>
    <row r="146" spans="1:17" x14ac:dyDescent="0.2">
      <c r="A146" s="95" t="s">
        <v>168</v>
      </c>
      <c r="B146" s="3">
        <v>2.4500000000000002</v>
      </c>
      <c r="C146" s="3">
        <v>2.1800000000000002</v>
      </c>
      <c r="D146" s="3">
        <v>2.0099999999999998</v>
      </c>
      <c r="E146" s="3">
        <v>1.87</v>
      </c>
      <c r="F146" s="3">
        <v>1.74</v>
      </c>
      <c r="G146" s="3">
        <v>1.88</v>
      </c>
      <c r="H146" s="3">
        <v>1.51</v>
      </c>
      <c r="I146" s="3">
        <v>3.73</v>
      </c>
      <c r="J146" s="128">
        <v>2.72</v>
      </c>
      <c r="K146" s="128">
        <v>4.62</v>
      </c>
      <c r="L146" s="3">
        <v>2.58</v>
      </c>
      <c r="M146" s="3" t="s">
        <v>35</v>
      </c>
      <c r="N146" s="3" t="s">
        <v>35</v>
      </c>
      <c r="O146" s="3">
        <v>3.32</v>
      </c>
      <c r="P146" s="3">
        <v>3.36</v>
      </c>
      <c r="Q146" s="91">
        <v>3.29</v>
      </c>
    </row>
    <row r="147" spans="1:17" x14ac:dyDescent="0.2">
      <c r="A147" s="95" t="s">
        <v>169</v>
      </c>
      <c r="B147" s="3">
        <v>2.39</v>
      </c>
      <c r="C147" s="3">
        <v>2.16</v>
      </c>
      <c r="D147" s="3">
        <v>2.04</v>
      </c>
      <c r="E147" s="3">
        <v>1.85</v>
      </c>
      <c r="F147" s="3">
        <v>1.72</v>
      </c>
      <c r="G147" s="3">
        <v>1.85</v>
      </c>
      <c r="H147" s="6">
        <v>1.6</v>
      </c>
      <c r="I147" s="3">
        <v>3.52</v>
      </c>
      <c r="J147" s="128">
        <v>2.85</v>
      </c>
      <c r="K147" s="128">
        <v>4.62</v>
      </c>
      <c r="L147" s="3">
        <v>2.59</v>
      </c>
      <c r="M147" s="3" t="s">
        <v>35</v>
      </c>
      <c r="N147" s="6">
        <v>0.97499999999999998</v>
      </c>
      <c r="O147" s="3">
        <v>3.34</v>
      </c>
      <c r="P147" s="3">
        <v>3.42</v>
      </c>
      <c r="Q147" s="91">
        <v>3.23</v>
      </c>
    </row>
    <row r="148" spans="1:17" x14ac:dyDescent="0.2">
      <c r="A148" s="95" t="s">
        <v>170</v>
      </c>
      <c r="B148" s="3">
        <v>2.42</v>
      </c>
      <c r="C148" s="3">
        <v>2.09</v>
      </c>
      <c r="D148" s="3">
        <v>1.97</v>
      </c>
      <c r="E148" s="3">
        <v>1.84</v>
      </c>
      <c r="F148" s="3">
        <v>1.67</v>
      </c>
      <c r="G148" s="3">
        <v>1.56</v>
      </c>
      <c r="H148" s="3">
        <v>1.37</v>
      </c>
      <c r="I148" s="3">
        <v>3.49</v>
      </c>
      <c r="J148" s="128">
        <v>2.5</v>
      </c>
      <c r="K148" s="128">
        <v>4.25</v>
      </c>
      <c r="L148" s="3">
        <v>2.65</v>
      </c>
      <c r="M148" s="3" t="s">
        <v>35</v>
      </c>
      <c r="N148" s="3">
        <v>1.22</v>
      </c>
      <c r="O148" s="3">
        <v>3.29</v>
      </c>
      <c r="P148" s="3">
        <v>3.31</v>
      </c>
      <c r="Q148" s="91">
        <v>3.17</v>
      </c>
    </row>
    <row r="149" spans="1:17" x14ac:dyDescent="0.2">
      <c r="A149" s="95" t="s">
        <v>171</v>
      </c>
      <c r="B149" s="3">
        <v>2.39</v>
      </c>
      <c r="C149" s="3">
        <v>2.25</v>
      </c>
      <c r="D149" s="3">
        <v>1.97</v>
      </c>
      <c r="E149" s="3">
        <v>1.84</v>
      </c>
      <c r="F149" s="3">
        <v>1.67</v>
      </c>
      <c r="G149" s="3">
        <v>1.68</v>
      </c>
      <c r="H149" s="3">
        <v>1.48</v>
      </c>
      <c r="I149" s="3">
        <v>3.67</v>
      </c>
      <c r="J149" s="128">
        <v>2.65</v>
      </c>
      <c r="K149" s="128">
        <v>4.58</v>
      </c>
      <c r="L149" s="3">
        <v>2.67</v>
      </c>
      <c r="M149" s="3" t="s">
        <v>35</v>
      </c>
      <c r="N149" s="3">
        <v>1.22</v>
      </c>
      <c r="O149" s="3">
        <v>3.24</v>
      </c>
      <c r="P149" s="3">
        <v>3.27</v>
      </c>
      <c r="Q149" s="96">
        <v>3.2</v>
      </c>
    </row>
    <row r="150" spans="1:17" x14ac:dyDescent="0.2">
      <c r="A150" s="95" t="s">
        <v>172</v>
      </c>
      <c r="B150" s="3">
        <v>2.44</v>
      </c>
      <c r="C150" s="3">
        <v>2.13</v>
      </c>
      <c r="D150" s="3">
        <v>1.98</v>
      </c>
      <c r="E150" s="3">
        <v>1.84</v>
      </c>
      <c r="F150" s="3">
        <v>1.67</v>
      </c>
      <c r="G150" s="3">
        <v>1.67</v>
      </c>
      <c r="H150" s="3">
        <v>1.48</v>
      </c>
      <c r="I150" s="3">
        <v>3.69</v>
      </c>
      <c r="J150" s="128">
        <v>2.71</v>
      </c>
      <c r="K150" s="128">
        <v>4.58</v>
      </c>
      <c r="L150" s="3">
        <v>2.62</v>
      </c>
      <c r="M150" s="3" t="s">
        <v>35</v>
      </c>
      <c r="N150" s="3" t="s">
        <v>35</v>
      </c>
      <c r="O150" s="3">
        <v>3.43</v>
      </c>
      <c r="P150" s="3">
        <v>3.45</v>
      </c>
      <c r="Q150" s="91">
        <v>3.37</v>
      </c>
    </row>
    <row r="151" spans="1:17" x14ac:dyDescent="0.2">
      <c r="A151" s="95" t="s">
        <v>173</v>
      </c>
      <c r="B151" s="3">
        <v>2.48</v>
      </c>
      <c r="C151" s="3">
        <v>2.12</v>
      </c>
      <c r="D151" s="3">
        <v>1.98</v>
      </c>
      <c r="E151" s="3">
        <v>1.87</v>
      </c>
      <c r="F151" s="3">
        <v>1.67</v>
      </c>
      <c r="G151" s="3">
        <v>1.67</v>
      </c>
      <c r="H151" s="3">
        <v>1.47</v>
      </c>
      <c r="I151" s="6">
        <v>3.7</v>
      </c>
      <c r="J151" s="128">
        <v>2.64</v>
      </c>
      <c r="K151" s="128">
        <v>4.49</v>
      </c>
      <c r="L151" s="3">
        <v>2.65</v>
      </c>
      <c r="M151" s="3" t="s">
        <v>35</v>
      </c>
      <c r="N151" s="3">
        <v>1.19</v>
      </c>
      <c r="O151" s="3">
        <v>3.49</v>
      </c>
      <c r="P151" s="3">
        <v>3.52</v>
      </c>
      <c r="Q151" s="91">
        <v>3.44</v>
      </c>
    </row>
    <row r="152" spans="1:17" x14ac:dyDescent="0.2">
      <c r="A152" s="95" t="s">
        <v>174</v>
      </c>
      <c r="B152" s="3">
        <v>2.4900000000000002</v>
      </c>
      <c r="C152" s="3">
        <v>2.14</v>
      </c>
      <c r="D152" s="6">
        <v>1.9</v>
      </c>
      <c r="E152" s="6">
        <v>1.9</v>
      </c>
      <c r="F152" s="3">
        <v>1.68</v>
      </c>
      <c r="G152" s="3">
        <v>1.73</v>
      </c>
      <c r="H152" s="3">
        <v>1.53</v>
      </c>
      <c r="I152" s="3">
        <v>3.76</v>
      </c>
      <c r="J152" s="128">
        <v>2.65</v>
      </c>
      <c r="K152" s="128">
        <v>4.57</v>
      </c>
      <c r="L152" s="3">
        <v>2.66</v>
      </c>
      <c r="M152" s="3" t="s">
        <v>35</v>
      </c>
      <c r="N152" s="3">
        <v>1.23</v>
      </c>
      <c r="O152" s="3">
        <v>3.49</v>
      </c>
      <c r="P152" s="3">
        <v>3.59</v>
      </c>
      <c r="Q152" s="91">
        <v>3.25</v>
      </c>
    </row>
    <row r="153" spans="1:17" x14ac:dyDescent="0.2">
      <c r="A153" s="95" t="s">
        <v>175</v>
      </c>
      <c r="B153" s="3">
        <v>2.46</v>
      </c>
      <c r="C153" s="3">
        <v>2.17</v>
      </c>
      <c r="D153" s="6">
        <v>1.92</v>
      </c>
      <c r="E153" s="3">
        <v>1.86</v>
      </c>
      <c r="F153" s="3">
        <v>1.74</v>
      </c>
      <c r="G153" s="3">
        <v>1.78</v>
      </c>
      <c r="H153" s="3">
        <v>1.55</v>
      </c>
      <c r="I153" s="3">
        <v>3.83</v>
      </c>
      <c r="J153" s="128">
        <v>2.84</v>
      </c>
      <c r="K153" s="128">
        <v>4.83</v>
      </c>
      <c r="L153" s="3">
        <v>2.68</v>
      </c>
      <c r="M153" s="3" t="s">
        <v>35</v>
      </c>
      <c r="N153" s="3">
        <v>1.44</v>
      </c>
      <c r="O153" s="3">
        <v>3.47</v>
      </c>
      <c r="P153" s="6">
        <v>3.5</v>
      </c>
      <c r="Q153" s="91">
        <v>3.11</v>
      </c>
    </row>
    <row r="154" spans="1:17" x14ac:dyDescent="0.2">
      <c r="A154" s="95" t="s">
        <v>176</v>
      </c>
      <c r="B154" s="3">
        <v>2.44</v>
      </c>
      <c r="C154" s="3">
        <v>2.16</v>
      </c>
      <c r="D154" s="3">
        <v>1.95</v>
      </c>
      <c r="E154" s="3">
        <v>1.87</v>
      </c>
      <c r="F154" s="3">
        <v>1.77</v>
      </c>
      <c r="G154" s="3">
        <v>1.75</v>
      </c>
      <c r="H154" s="3">
        <v>1.56</v>
      </c>
      <c r="I154" s="3">
        <v>4.07</v>
      </c>
      <c r="J154" s="128">
        <v>3.1</v>
      </c>
      <c r="K154" s="128">
        <v>5.1100000000000003</v>
      </c>
      <c r="L154" s="3">
        <v>2.76</v>
      </c>
      <c r="M154" s="3" t="s">
        <v>35</v>
      </c>
      <c r="N154" s="3">
        <v>1.37</v>
      </c>
      <c r="O154" s="3">
        <v>3.43</v>
      </c>
      <c r="P154" s="3">
        <v>3.42</v>
      </c>
      <c r="Q154" s="96">
        <v>3.1</v>
      </c>
    </row>
    <row r="155" spans="1:17" x14ac:dyDescent="0.2">
      <c r="A155" s="95" t="s">
        <v>177</v>
      </c>
      <c r="B155" s="3">
        <v>2.41</v>
      </c>
      <c r="C155" s="3">
        <v>2.17</v>
      </c>
      <c r="D155" s="3">
        <v>2.0499999999999998</v>
      </c>
      <c r="E155" s="3">
        <v>1.93</v>
      </c>
      <c r="F155" s="3">
        <v>1.74</v>
      </c>
      <c r="G155" s="3">
        <v>1.72</v>
      </c>
      <c r="H155" s="3">
        <v>1.53</v>
      </c>
      <c r="I155" s="3">
        <v>4.05</v>
      </c>
      <c r="J155" s="128">
        <v>2.97</v>
      </c>
      <c r="K155" s="128">
        <v>5.05</v>
      </c>
      <c r="L155" s="3">
        <v>2.71</v>
      </c>
      <c r="M155" s="3" t="s">
        <v>35</v>
      </c>
      <c r="N155" s="3">
        <v>1.36</v>
      </c>
      <c r="O155" s="3">
        <v>3.42</v>
      </c>
      <c r="P155" s="3">
        <v>3.41</v>
      </c>
      <c r="Q155" s="91">
        <v>3.05</v>
      </c>
    </row>
    <row r="156" spans="1:17" x14ac:dyDescent="0.2">
      <c r="A156" s="95" t="s">
        <v>178</v>
      </c>
      <c r="B156" s="3">
        <v>2.44</v>
      </c>
      <c r="C156" s="3">
        <v>1.75</v>
      </c>
      <c r="D156" s="3">
        <v>2.0099999999999998</v>
      </c>
      <c r="E156" s="3">
        <v>1.86</v>
      </c>
      <c r="F156" s="3">
        <v>1.71</v>
      </c>
      <c r="G156" s="3">
        <v>1.76</v>
      </c>
      <c r="H156" s="3">
        <v>1.57</v>
      </c>
      <c r="I156" s="3">
        <v>3.74</v>
      </c>
      <c r="J156" s="128">
        <v>2.4900000000000002</v>
      </c>
      <c r="K156" s="128">
        <v>4.66</v>
      </c>
      <c r="L156" s="3">
        <v>2.75</v>
      </c>
      <c r="M156" s="3" t="s">
        <v>35</v>
      </c>
      <c r="N156" s="3">
        <v>1.37</v>
      </c>
      <c r="O156" s="6">
        <v>3.2</v>
      </c>
      <c r="P156" s="6">
        <v>3.2</v>
      </c>
      <c r="Q156" s="91">
        <v>3.08</v>
      </c>
    </row>
    <row r="157" spans="1:17" x14ac:dyDescent="0.2">
      <c r="A157" s="95" t="s">
        <v>179</v>
      </c>
      <c r="B157" s="6">
        <v>2.4</v>
      </c>
      <c r="C157" s="3">
        <v>1.94</v>
      </c>
      <c r="D157" s="6">
        <v>1.8</v>
      </c>
      <c r="E157" s="3">
        <v>1.94</v>
      </c>
      <c r="F157" s="6">
        <v>1.6</v>
      </c>
      <c r="G157" s="3">
        <v>1.81</v>
      </c>
      <c r="H157" s="3">
        <v>1.62</v>
      </c>
      <c r="I157" s="3">
        <v>3.84</v>
      </c>
      <c r="J157" s="128">
        <v>2.57</v>
      </c>
      <c r="K157" s="128">
        <v>4.92</v>
      </c>
      <c r="L157" s="3">
        <v>2.78</v>
      </c>
      <c r="M157" s="3" t="s">
        <v>35</v>
      </c>
      <c r="N157" s="3">
        <v>1.34</v>
      </c>
      <c r="O157" s="3">
        <v>3.49</v>
      </c>
      <c r="P157" s="6">
        <v>3.5</v>
      </c>
      <c r="Q157" s="96">
        <v>3.3</v>
      </c>
    </row>
    <row r="158" spans="1:17" x14ac:dyDescent="0.2">
      <c r="A158" s="95" t="s">
        <v>180</v>
      </c>
      <c r="B158" s="3">
        <v>2.36</v>
      </c>
      <c r="C158" s="3">
        <v>1.85</v>
      </c>
      <c r="D158" s="3">
        <v>1.79</v>
      </c>
      <c r="E158" s="3">
        <v>1.92</v>
      </c>
      <c r="F158" s="6">
        <v>1.6</v>
      </c>
      <c r="G158" s="3">
        <v>1.73</v>
      </c>
      <c r="H158" s="3">
        <v>1.54</v>
      </c>
      <c r="I158" s="3">
        <v>3.69</v>
      </c>
      <c r="J158" s="128">
        <v>2.4900000000000002</v>
      </c>
      <c r="K158" s="128">
        <v>4.8600000000000003</v>
      </c>
      <c r="L158" s="3">
        <v>2.66</v>
      </c>
      <c r="M158" s="3" t="s">
        <v>35</v>
      </c>
      <c r="N158" s="3">
        <v>1.34</v>
      </c>
      <c r="O158" s="3">
        <v>3.51</v>
      </c>
      <c r="P158" s="3">
        <v>3.52</v>
      </c>
      <c r="Q158" s="96">
        <v>3.3</v>
      </c>
    </row>
    <row r="159" spans="1:17" x14ac:dyDescent="0.2">
      <c r="A159" s="95" t="s">
        <v>181</v>
      </c>
      <c r="B159" s="3">
        <v>2.34</v>
      </c>
      <c r="C159" s="3">
        <v>1.91</v>
      </c>
      <c r="D159" s="6">
        <v>1.8</v>
      </c>
      <c r="E159" s="3">
        <v>1.93</v>
      </c>
      <c r="F159" s="3">
        <v>1.61</v>
      </c>
      <c r="G159" s="3">
        <v>1.68</v>
      </c>
      <c r="H159" s="3">
        <v>1.52</v>
      </c>
      <c r="I159" s="3">
        <v>3.56</v>
      </c>
      <c r="J159" s="128">
        <v>2.37</v>
      </c>
      <c r="K159" s="128">
        <v>4.7300000000000004</v>
      </c>
      <c r="L159" s="3">
        <v>2.62</v>
      </c>
      <c r="M159" s="3" t="s">
        <v>35</v>
      </c>
      <c r="N159" s="3">
        <v>1.34</v>
      </c>
      <c r="O159" s="3">
        <v>3.39</v>
      </c>
      <c r="P159" s="6">
        <v>3.4</v>
      </c>
      <c r="Q159" s="91">
        <v>3.16</v>
      </c>
    </row>
    <row r="160" spans="1:17" x14ac:dyDescent="0.2">
      <c r="A160" s="95" t="s">
        <v>182</v>
      </c>
      <c r="B160" s="3">
        <v>2.35</v>
      </c>
      <c r="C160" s="3">
        <v>1.83</v>
      </c>
      <c r="D160" s="3">
        <v>1.83</v>
      </c>
      <c r="E160" s="3">
        <v>1.93</v>
      </c>
      <c r="F160" s="3">
        <v>1.65</v>
      </c>
      <c r="G160" s="3">
        <v>1.69</v>
      </c>
      <c r="H160" s="3">
        <v>1.51</v>
      </c>
      <c r="I160" s="3">
        <v>3.59</v>
      </c>
      <c r="J160" s="128">
        <v>2.58</v>
      </c>
      <c r="K160" s="128">
        <v>4.8899999999999997</v>
      </c>
      <c r="L160" s="3">
        <v>2.75</v>
      </c>
      <c r="M160" s="3" t="s">
        <v>35</v>
      </c>
      <c r="N160" s="3">
        <v>1.34</v>
      </c>
      <c r="O160" s="3" t="s">
        <v>35</v>
      </c>
      <c r="P160" s="3" t="s">
        <v>35</v>
      </c>
      <c r="Q160" s="91" t="s">
        <v>35</v>
      </c>
    </row>
    <row r="161" spans="1:17" x14ac:dyDescent="0.2">
      <c r="A161" s="95" t="s">
        <v>183</v>
      </c>
      <c r="B161" s="6">
        <v>2.2999999999999998</v>
      </c>
      <c r="C161" s="3">
        <v>1.98</v>
      </c>
      <c r="D161" s="6">
        <v>1.82</v>
      </c>
      <c r="E161" s="3">
        <v>1.95</v>
      </c>
      <c r="F161" s="3">
        <v>1.65</v>
      </c>
      <c r="G161" s="3">
        <v>1.77</v>
      </c>
      <c r="H161" s="3">
        <v>1.58</v>
      </c>
      <c r="I161" s="3">
        <v>3.47</v>
      </c>
      <c r="J161" s="128">
        <v>2.57</v>
      </c>
      <c r="K161" s="128">
        <v>4.87</v>
      </c>
      <c r="L161" s="3">
        <v>2.68</v>
      </c>
      <c r="M161" s="3" t="s">
        <v>35</v>
      </c>
      <c r="N161" s="3" t="s">
        <v>35</v>
      </c>
      <c r="O161" s="3" t="s">
        <v>35</v>
      </c>
      <c r="P161" s="3" t="s">
        <v>35</v>
      </c>
      <c r="Q161" s="91" t="s">
        <v>35</v>
      </c>
    </row>
    <row r="162" spans="1:17" x14ac:dyDescent="0.2">
      <c r="A162" s="99" t="s">
        <v>184</v>
      </c>
      <c r="B162" s="3">
        <v>2.2200000000000002</v>
      </c>
      <c r="C162" s="3">
        <v>1.29</v>
      </c>
      <c r="D162" s="6">
        <v>1.8</v>
      </c>
      <c r="E162" s="3">
        <v>1.95</v>
      </c>
      <c r="F162" s="3">
        <v>1.65</v>
      </c>
      <c r="G162" s="3">
        <v>1.83</v>
      </c>
      <c r="H162" s="3">
        <v>1.61</v>
      </c>
      <c r="I162" s="3">
        <v>3.54</v>
      </c>
      <c r="J162" s="128">
        <v>2.54</v>
      </c>
      <c r="K162" s="128">
        <v>4.76</v>
      </c>
      <c r="L162" s="3">
        <v>2.67</v>
      </c>
      <c r="M162" s="3" t="s">
        <v>35</v>
      </c>
      <c r="N162" s="3">
        <v>1.24</v>
      </c>
      <c r="O162" s="3" t="s">
        <v>35</v>
      </c>
      <c r="P162" s="3" t="s">
        <v>35</v>
      </c>
      <c r="Q162" s="91" t="s">
        <v>35</v>
      </c>
    </row>
    <row r="163" spans="1:17" x14ac:dyDescent="0.2">
      <c r="A163" s="95" t="s">
        <v>185</v>
      </c>
      <c r="B163" s="3">
        <v>2.09</v>
      </c>
      <c r="C163" s="3">
        <v>1.1200000000000001</v>
      </c>
      <c r="D163" s="6">
        <v>1.8</v>
      </c>
      <c r="E163" s="3">
        <v>1.94</v>
      </c>
      <c r="F163" s="3">
        <v>1.65</v>
      </c>
      <c r="G163" s="3">
        <v>1.86</v>
      </c>
      <c r="H163" s="3">
        <v>1.75</v>
      </c>
      <c r="I163" s="3">
        <v>3.58</v>
      </c>
      <c r="J163" s="128">
        <v>2.5099999999999998</v>
      </c>
      <c r="K163" s="128">
        <v>4.92</v>
      </c>
      <c r="L163" s="3">
        <v>2.67</v>
      </c>
      <c r="M163" s="3" t="s">
        <v>35</v>
      </c>
      <c r="N163" s="6">
        <v>1.2</v>
      </c>
      <c r="O163" s="3">
        <v>3.52</v>
      </c>
      <c r="P163" s="3">
        <v>3.52</v>
      </c>
      <c r="Q163" s="91">
        <v>3.37</v>
      </c>
    </row>
    <row r="164" spans="1:17" x14ac:dyDescent="0.2">
      <c r="A164" s="95" t="s">
        <v>186</v>
      </c>
      <c r="B164" s="3">
        <v>2.11</v>
      </c>
      <c r="C164" s="3">
        <v>1.1299999999999999</v>
      </c>
      <c r="D164" s="6">
        <v>1.8</v>
      </c>
      <c r="E164" s="3">
        <v>1.91</v>
      </c>
      <c r="F164" s="3">
        <v>1.63</v>
      </c>
      <c r="G164" s="3">
        <v>1.87</v>
      </c>
      <c r="H164" s="3">
        <v>1.76</v>
      </c>
      <c r="I164" s="3">
        <v>3.63</v>
      </c>
      <c r="J164" s="128">
        <v>2.5</v>
      </c>
      <c r="K164" s="128">
        <v>4.83</v>
      </c>
      <c r="L164" s="3">
        <v>2.77</v>
      </c>
      <c r="M164" s="3" t="s">
        <v>35</v>
      </c>
      <c r="N164" s="3">
        <v>1.18</v>
      </c>
      <c r="O164" s="3">
        <v>3.59</v>
      </c>
      <c r="P164" s="3">
        <v>3.59</v>
      </c>
      <c r="Q164" s="91">
        <v>3.39</v>
      </c>
    </row>
    <row r="165" spans="1:17" x14ac:dyDescent="0.2">
      <c r="A165" s="100" t="s">
        <v>187</v>
      </c>
      <c r="B165" s="3">
        <v>2.23</v>
      </c>
      <c r="C165" s="3">
        <v>1.02</v>
      </c>
      <c r="D165" s="3">
        <v>1.79</v>
      </c>
      <c r="E165" s="3">
        <v>1.95</v>
      </c>
      <c r="F165" s="3">
        <v>1.63</v>
      </c>
      <c r="G165" s="3">
        <v>1.87</v>
      </c>
      <c r="H165" s="3">
        <v>1.67</v>
      </c>
      <c r="I165" s="3">
        <v>3.74</v>
      </c>
      <c r="J165" s="128">
        <v>2.5099999999999998</v>
      </c>
      <c r="K165" s="128">
        <v>4.74</v>
      </c>
      <c r="L165" s="3">
        <v>2.73</v>
      </c>
      <c r="M165" s="3" t="s">
        <v>35</v>
      </c>
      <c r="N165" s="3">
        <v>1.1599999999999999</v>
      </c>
      <c r="O165" s="3">
        <v>3.51</v>
      </c>
      <c r="P165" s="3">
        <v>3.57</v>
      </c>
      <c r="Q165" s="91">
        <v>3.37</v>
      </c>
    </row>
    <row r="166" spans="1:17" x14ac:dyDescent="0.2">
      <c r="A166" s="95" t="s">
        <v>188</v>
      </c>
      <c r="B166" s="3">
        <v>2.33</v>
      </c>
      <c r="C166" s="3">
        <v>1.05</v>
      </c>
      <c r="D166" s="3">
        <v>1.82</v>
      </c>
      <c r="E166" s="3">
        <v>1.99</v>
      </c>
      <c r="F166" s="3">
        <v>1.65</v>
      </c>
      <c r="G166" s="3">
        <v>1.89</v>
      </c>
      <c r="H166" s="3">
        <v>1.68</v>
      </c>
      <c r="I166" s="3">
        <v>3.77</v>
      </c>
      <c r="J166" s="128">
        <v>2.79</v>
      </c>
      <c r="K166" s="128">
        <v>4.7699999999999996</v>
      </c>
      <c r="L166" s="3">
        <v>2.73</v>
      </c>
      <c r="M166" s="3" t="s">
        <v>35</v>
      </c>
      <c r="N166" s="3">
        <v>1.31</v>
      </c>
      <c r="O166" s="3">
        <v>3.54</v>
      </c>
      <c r="P166" s="3">
        <v>3.55</v>
      </c>
      <c r="Q166" s="91">
        <v>3.33</v>
      </c>
    </row>
    <row r="167" spans="1:17" x14ac:dyDescent="0.2">
      <c r="A167" s="95" t="s">
        <v>189</v>
      </c>
      <c r="B167" s="3">
        <v>2.3199999999999998</v>
      </c>
      <c r="C167" s="3">
        <v>1.18</v>
      </c>
      <c r="D167" s="3">
        <v>1.84</v>
      </c>
      <c r="E167" s="3">
        <v>2.0099999999999998</v>
      </c>
      <c r="F167" s="3">
        <v>1.66</v>
      </c>
      <c r="G167" s="3">
        <v>1.89</v>
      </c>
      <c r="H167" s="3">
        <v>1.69</v>
      </c>
      <c r="I167" s="3">
        <v>3.69</v>
      </c>
      <c r="J167" s="128">
        <v>2.77</v>
      </c>
      <c r="K167" s="128">
        <v>4.74</v>
      </c>
      <c r="L167" s="3">
        <v>2.71</v>
      </c>
      <c r="M167" s="3" t="s">
        <v>35</v>
      </c>
      <c r="N167" s="3">
        <v>1.28</v>
      </c>
      <c r="O167" s="3">
        <v>3.56</v>
      </c>
      <c r="P167" s="3">
        <v>3.54</v>
      </c>
      <c r="Q167" s="91">
        <v>3.23</v>
      </c>
    </row>
    <row r="168" spans="1:17" x14ac:dyDescent="0.2">
      <c r="A168" s="95" t="s">
        <v>190</v>
      </c>
      <c r="B168" s="3">
        <v>2.4300000000000002</v>
      </c>
      <c r="C168" s="3">
        <v>1.1200000000000001</v>
      </c>
      <c r="D168" s="3">
        <v>1.84</v>
      </c>
      <c r="E168" s="3">
        <v>2.0099999999999998</v>
      </c>
      <c r="F168" s="3">
        <v>1.67</v>
      </c>
      <c r="G168" s="6">
        <v>1.9</v>
      </c>
      <c r="H168" s="3">
        <v>1.69</v>
      </c>
      <c r="I168" s="3">
        <v>3.58</v>
      </c>
      <c r="J168" s="128">
        <v>2.81</v>
      </c>
      <c r="K168" s="128">
        <v>4.62</v>
      </c>
      <c r="L168" s="3">
        <v>2.82</v>
      </c>
      <c r="M168" s="3" t="s">
        <v>35</v>
      </c>
      <c r="N168" s="3" t="s">
        <v>35</v>
      </c>
      <c r="O168" s="3">
        <v>3.52</v>
      </c>
      <c r="P168" s="6">
        <v>3.5</v>
      </c>
      <c r="Q168" s="91">
        <v>3.12</v>
      </c>
    </row>
    <row r="169" spans="1:17" x14ac:dyDescent="0.2">
      <c r="A169" s="95" t="s">
        <v>191</v>
      </c>
      <c r="B169" s="3">
        <v>2.56</v>
      </c>
      <c r="C169" s="3">
        <v>1.1100000000000001</v>
      </c>
      <c r="D169" s="3">
        <v>1.93</v>
      </c>
      <c r="E169" s="3">
        <v>2.06</v>
      </c>
      <c r="F169" s="6">
        <v>1.7</v>
      </c>
      <c r="G169" s="3">
        <v>1.94</v>
      </c>
      <c r="H169" s="3">
        <v>1.74</v>
      </c>
      <c r="I169" s="3">
        <v>3.73</v>
      </c>
      <c r="J169" s="128">
        <v>2.81</v>
      </c>
      <c r="K169" s="128">
        <v>4.62</v>
      </c>
      <c r="L169" s="3">
        <v>2.82</v>
      </c>
      <c r="M169" s="3" t="s">
        <v>35</v>
      </c>
      <c r="N169" s="3">
        <v>1.28</v>
      </c>
      <c r="O169" s="3">
        <v>3.49</v>
      </c>
      <c r="P169" s="3">
        <v>3.48</v>
      </c>
      <c r="Q169" s="91">
        <v>3.06</v>
      </c>
    </row>
    <row r="170" spans="1:17" x14ac:dyDescent="0.2">
      <c r="A170" s="95" t="s">
        <v>192</v>
      </c>
      <c r="B170" s="3">
        <v>2.65</v>
      </c>
      <c r="C170" s="3">
        <v>1.06</v>
      </c>
      <c r="D170" s="3">
        <v>1.93</v>
      </c>
      <c r="E170" s="3">
        <v>2.06</v>
      </c>
      <c r="F170" s="3">
        <v>1.72</v>
      </c>
      <c r="G170" s="6">
        <v>1.9</v>
      </c>
      <c r="H170" s="3">
        <v>1.68</v>
      </c>
      <c r="I170" s="3">
        <v>3.74</v>
      </c>
      <c r="J170" s="128">
        <v>2.82</v>
      </c>
      <c r="K170" s="128">
        <v>4.6399999999999997</v>
      </c>
      <c r="L170" s="3">
        <v>2.85</v>
      </c>
      <c r="M170" s="3" t="s">
        <v>35</v>
      </c>
      <c r="N170" s="3">
        <v>1.28</v>
      </c>
      <c r="O170" s="3">
        <v>3.53</v>
      </c>
      <c r="P170" s="3">
        <v>3.54</v>
      </c>
      <c r="Q170" s="91">
        <v>3.14</v>
      </c>
    </row>
    <row r="171" spans="1:17" x14ac:dyDescent="0.2">
      <c r="A171" s="95" t="s">
        <v>193</v>
      </c>
      <c r="B171" s="3">
        <v>2.5299999999999998</v>
      </c>
      <c r="C171" s="3">
        <v>1.1599999999999999</v>
      </c>
      <c r="D171" s="3">
        <v>1.94</v>
      </c>
      <c r="E171" s="3">
        <v>2.06</v>
      </c>
      <c r="F171" s="3">
        <v>1.73</v>
      </c>
      <c r="G171" s="3">
        <v>1.83</v>
      </c>
      <c r="H171" s="3">
        <v>1.64</v>
      </c>
      <c r="I171" s="3">
        <v>3.49</v>
      </c>
      <c r="J171" s="128">
        <v>2.71</v>
      </c>
      <c r="K171" s="128">
        <v>4.4000000000000004</v>
      </c>
      <c r="L171" s="3">
        <v>2.94</v>
      </c>
      <c r="M171" s="3" t="s">
        <v>35</v>
      </c>
      <c r="N171" s="3">
        <v>1.29</v>
      </c>
      <c r="O171" s="6">
        <v>3.5</v>
      </c>
      <c r="P171" s="6">
        <v>3.49</v>
      </c>
      <c r="Q171" s="91">
        <v>3.08</v>
      </c>
    </row>
    <row r="172" spans="1:17" x14ac:dyDescent="0.2">
      <c r="A172" s="95" t="s">
        <v>194</v>
      </c>
      <c r="B172" s="3">
        <v>2.65</v>
      </c>
      <c r="C172" s="3">
        <v>1.21</v>
      </c>
      <c r="D172" s="3">
        <v>1.94</v>
      </c>
      <c r="E172" s="3">
        <v>2.08</v>
      </c>
      <c r="F172" s="3">
        <v>1.73</v>
      </c>
      <c r="G172" s="3">
        <v>1.87</v>
      </c>
      <c r="H172" s="3">
        <v>1.65</v>
      </c>
      <c r="I172" s="3">
        <v>3.43</v>
      </c>
      <c r="J172" s="128">
        <v>2.67</v>
      </c>
      <c r="K172" s="128">
        <v>4.33</v>
      </c>
      <c r="L172" s="3">
        <v>2.79</v>
      </c>
      <c r="M172" s="3" t="s">
        <v>35</v>
      </c>
      <c r="N172" s="3">
        <v>1.28</v>
      </c>
      <c r="O172" s="3">
        <v>3.46</v>
      </c>
      <c r="P172" s="3">
        <v>3.48</v>
      </c>
      <c r="Q172" s="96">
        <v>3</v>
      </c>
    </row>
    <row r="173" spans="1:17" x14ac:dyDescent="0.2">
      <c r="A173" s="95" t="s">
        <v>195</v>
      </c>
      <c r="B173" s="3">
        <v>2.62</v>
      </c>
      <c r="C173" s="3">
        <v>1.22</v>
      </c>
      <c r="D173" s="3">
        <v>1.92</v>
      </c>
      <c r="E173" s="3">
        <v>2.0499999999999998</v>
      </c>
      <c r="F173" s="3">
        <v>1.72</v>
      </c>
      <c r="G173" s="3">
        <v>1.87</v>
      </c>
      <c r="H173" s="3">
        <v>1.65</v>
      </c>
      <c r="I173" s="3">
        <v>3.41</v>
      </c>
      <c r="J173" s="128">
        <v>2.6</v>
      </c>
      <c r="K173" s="128">
        <v>4.2</v>
      </c>
      <c r="L173" s="3">
        <v>2.79</v>
      </c>
      <c r="M173" s="3" t="s">
        <v>35</v>
      </c>
      <c r="N173" s="3">
        <v>1.26</v>
      </c>
      <c r="O173" s="3">
        <v>3.44</v>
      </c>
      <c r="P173" s="3">
        <v>3.46</v>
      </c>
      <c r="Q173" s="91">
        <v>3.05</v>
      </c>
    </row>
    <row r="174" spans="1:17" x14ac:dyDescent="0.2">
      <c r="A174" s="95" t="s">
        <v>196</v>
      </c>
      <c r="B174" s="3">
        <v>2.52</v>
      </c>
      <c r="C174" s="3">
        <v>1.26</v>
      </c>
      <c r="D174" s="6">
        <v>1.9</v>
      </c>
      <c r="E174" s="3">
        <v>2.06</v>
      </c>
      <c r="F174" s="3">
        <v>1.72</v>
      </c>
      <c r="G174" s="3">
        <v>1.81</v>
      </c>
      <c r="H174" s="3">
        <v>1.61</v>
      </c>
      <c r="I174" s="3">
        <v>3.43</v>
      </c>
      <c r="J174" s="128">
        <v>2.58</v>
      </c>
      <c r="K174" s="128">
        <v>4.12</v>
      </c>
      <c r="L174" s="3">
        <v>2.79</v>
      </c>
      <c r="M174" s="3" t="s">
        <v>35</v>
      </c>
      <c r="N174" s="3">
        <v>1.27</v>
      </c>
      <c r="O174" s="3">
        <v>3.44</v>
      </c>
      <c r="P174" s="3">
        <v>3.46</v>
      </c>
      <c r="Q174" s="91">
        <v>2.84</v>
      </c>
    </row>
    <row r="175" spans="1:17" x14ac:dyDescent="0.2">
      <c r="A175" s="95" t="s">
        <v>197</v>
      </c>
      <c r="B175" s="3">
        <v>2.63</v>
      </c>
      <c r="C175" s="6">
        <v>1.0900000000000001</v>
      </c>
      <c r="D175" s="6">
        <v>1.9</v>
      </c>
      <c r="E175" s="3">
        <v>2.02</v>
      </c>
      <c r="F175" s="3">
        <v>1.72</v>
      </c>
      <c r="G175" s="6">
        <v>1.8</v>
      </c>
      <c r="H175" s="3">
        <v>1.61</v>
      </c>
      <c r="I175" s="6">
        <v>3.5</v>
      </c>
      <c r="J175" s="128">
        <v>2.97</v>
      </c>
      <c r="K175" s="128">
        <v>4.29</v>
      </c>
      <c r="L175" s="3">
        <v>2.77</v>
      </c>
      <c r="M175" s="3" t="s">
        <v>35</v>
      </c>
      <c r="N175" s="3">
        <v>1.28</v>
      </c>
      <c r="O175" s="6">
        <v>3.4</v>
      </c>
      <c r="P175" s="3">
        <v>3.43</v>
      </c>
      <c r="Q175" s="91">
        <v>3.06</v>
      </c>
    </row>
    <row r="176" spans="1:17" x14ac:dyDescent="0.2">
      <c r="A176" s="95" t="s">
        <v>198</v>
      </c>
      <c r="B176" s="3">
        <v>2.59</v>
      </c>
      <c r="C176" s="3">
        <v>1.0900000000000001</v>
      </c>
      <c r="D176" s="3">
        <v>1.89</v>
      </c>
      <c r="E176" s="3">
        <v>2.0099999999999998</v>
      </c>
      <c r="F176" s="6">
        <v>1.7</v>
      </c>
      <c r="G176" s="3">
        <v>1.78</v>
      </c>
      <c r="H176" s="3">
        <v>1.59</v>
      </c>
      <c r="I176" s="3">
        <v>3.35</v>
      </c>
      <c r="J176" s="128">
        <v>2.95</v>
      </c>
      <c r="K176" s="128">
        <v>4.29</v>
      </c>
      <c r="L176" s="3">
        <v>2.69</v>
      </c>
      <c r="M176" s="3" t="s">
        <v>35</v>
      </c>
      <c r="N176" s="3">
        <v>1.28</v>
      </c>
      <c r="O176" s="6">
        <v>3.4</v>
      </c>
      <c r="P176" s="3">
        <v>3.43</v>
      </c>
      <c r="Q176" s="91">
        <v>3.06</v>
      </c>
    </row>
    <row r="177" spans="1:17" x14ac:dyDescent="0.2">
      <c r="A177" s="95" t="s">
        <v>199</v>
      </c>
      <c r="B177" s="3">
        <v>2.54</v>
      </c>
      <c r="C177" s="6">
        <v>1.05</v>
      </c>
      <c r="D177" s="3">
        <v>1.89</v>
      </c>
      <c r="E177" s="3">
        <v>2.0099999999999998</v>
      </c>
      <c r="F177" s="3">
        <v>1.73</v>
      </c>
      <c r="G177" s="3">
        <v>1.73</v>
      </c>
      <c r="H177" s="3">
        <v>1.55</v>
      </c>
      <c r="I177" s="3">
        <v>3.35</v>
      </c>
      <c r="J177" s="128">
        <v>2.72</v>
      </c>
      <c r="K177" s="128">
        <v>4.0599999999999996</v>
      </c>
      <c r="L177" s="6">
        <v>2.7</v>
      </c>
      <c r="M177" s="3" t="s">
        <v>35</v>
      </c>
      <c r="N177" s="3">
        <v>1.28</v>
      </c>
      <c r="O177" s="6">
        <v>3.4</v>
      </c>
      <c r="P177" s="3">
        <v>3.38</v>
      </c>
      <c r="Q177" s="91">
        <v>3.11</v>
      </c>
    </row>
    <row r="178" spans="1:17" x14ac:dyDescent="0.2">
      <c r="A178" s="95" t="s">
        <v>200</v>
      </c>
      <c r="B178" s="3">
        <v>2.48</v>
      </c>
      <c r="C178" s="3">
        <v>0.95</v>
      </c>
      <c r="D178" s="6">
        <v>1.9</v>
      </c>
      <c r="E178" s="3">
        <v>2.02</v>
      </c>
      <c r="F178" s="3">
        <v>1.73</v>
      </c>
      <c r="G178" s="6">
        <v>1.7</v>
      </c>
      <c r="H178" s="3">
        <v>1.52</v>
      </c>
      <c r="I178" s="3">
        <v>3.27</v>
      </c>
      <c r="J178" s="128">
        <v>2.66</v>
      </c>
      <c r="K178" s="128">
        <v>4.04</v>
      </c>
      <c r="L178" s="3">
        <v>2.64</v>
      </c>
      <c r="M178" s="3" t="s">
        <v>35</v>
      </c>
      <c r="N178" s="3">
        <v>1.31</v>
      </c>
      <c r="O178" s="3">
        <v>3.31</v>
      </c>
      <c r="P178" s="3">
        <v>3.32</v>
      </c>
      <c r="Q178" s="91">
        <v>3.04</v>
      </c>
    </row>
    <row r="179" spans="1:17" x14ac:dyDescent="0.2">
      <c r="A179" s="95" t="s">
        <v>201</v>
      </c>
      <c r="B179" s="6">
        <v>2.6</v>
      </c>
      <c r="C179" s="3">
        <v>1.03</v>
      </c>
      <c r="D179" s="6">
        <v>1.9</v>
      </c>
      <c r="E179" s="3">
        <v>2.02</v>
      </c>
      <c r="F179" s="6">
        <v>1.7</v>
      </c>
      <c r="G179" s="3">
        <v>1.65</v>
      </c>
      <c r="H179" s="3">
        <v>1.47</v>
      </c>
      <c r="I179" s="6">
        <v>3.2</v>
      </c>
      <c r="J179" s="128">
        <v>2.6</v>
      </c>
      <c r="K179" s="128">
        <v>3.95</v>
      </c>
      <c r="L179" s="3">
        <v>2.68</v>
      </c>
      <c r="M179" s="3" t="s">
        <v>35</v>
      </c>
      <c r="N179" s="6">
        <v>1.3</v>
      </c>
      <c r="O179" s="6">
        <v>3.4</v>
      </c>
      <c r="P179" s="3">
        <v>3.38</v>
      </c>
      <c r="Q179" s="91">
        <v>3.02</v>
      </c>
    </row>
    <row r="180" spans="1:17" x14ac:dyDescent="0.2">
      <c r="A180" s="95" t="s">
        <v>202</v>
      </c>
      <c r="B180" s="3">
        <v>2.5499999999999998</v>
      </c>
      <c r="C180" s="3">
        <v>0.97</v>
      </c>
      <c r="D180" s="6">
        <v>1.9</v>
      </c>
      <c r="E180" s="3">
        <v>2.0099999999999998</v>
      </c>
      <c r="F180" s="6">
        <v>1.7</v>
      </c>
      <c r="G180" s="6">
        <v>1.65</v>
      </c>
      <c r="H180" s="6">
        <v>1.47</v>
      </c>
      <c r="I180" s="3">
        <v>3.14</v>
      </c>
      <c r="J180" s="128">
        <v>2.56</v>
      </c>
      <c r="K180" s="128">
        <v>3.9</v>
      </c>
      <c r="L180" s="3">
        <v>2.65</v>
      </c>
      <c r="M180" s="3" t="s">
        <v>35</v>
      </c>
      <c r="N180" s="3">
        <v>1.29</v>
      </c>
      <c r="O180" s="6">
        <v>3.2</v>
      </c>
      <c r="P180" s="3">
        <v>3.26</v>
      </c>
      <c r="Q180" s="91">
        <v>2.87</v>
      </c>
    </row>
    <row r="181" spans="1:17" x14ac:dyDescent="0.2">
      <c r="A181" s="95" t="s">
        <v>203</v>
      </c>
      <c r="B181" s="3">
        <v>2.36</v>
      </c>
      <c r="C181" s="3">
        <v>1.03</v>
      </c>
      <c r="D181" s="3">
        <v>1.79</v>
      </c>
      <c r="E181" s="3">
        <v>1.92</v>
      </c>
      <c r="F181" s="3">
        <v>1.65</v>
      </c>
      <c r="G181" s="3">
        <v>1.54</v>
      </c>
      <c r="H181" s="3">
        <v>1.37</v>
      </c>
      <c r="I181" s="3">
        <v>3.03</v>
      </c>
      <c r="J181" s="128">
        <v>2.4300000000000002</v>
      </c>
      <c r="K181" s="128">
        <v>3.71</v>
      </c>
      <c r="L181" s="3">
        <v>2.72</v>
      </c>
      <c r="M181" s="3" t="s">
        <v>35</v>
      </c>
      <c r="N181" s="3">
        <v>1.23</v>
      </c>
      <c r="O181" s="3">
        <v>3.19</v>
      </c>
      <c r="P181" s="6">
        <v>3.2</v>
      </c>
      <c r="Q181" s="91">
        <v>2.77</v>
      </c>
    </row>
    <row r="182" spans="1:17" x14ac:dyDescent="0.2">
      <c r="A182" s="95" t="s">
        <v>204</v>
      </c>
      <c r="B182" s="3">
        <v>2.5099999999999998</v>
      </c>
      <c r="C182" s="3">
        <v>1.1499999999999999</v>
      </c>
      <c r="D182" s="3">
        <v>1.76</v>
      </c>
      <c r="E182" s="3">
        <v>1.87</v>
      </c>
      <c r="F182" s="3">
        <v>1.58</v>
      </c>
      <c r="G182" s="3">
        <v>1.63</v>
      </c>
      <c r="H182" s="3">
        <v>1.45</v>
      </c>
      <c r="I182" s="3">
        <v>3.08</v>
      </c>
      <c r="J182" s="128">
        <v>2.41</v>
      </c>
      <c r="K182" s="128">
        <v>3.67</v>
      </c>
      <c r="L182" s="3">
        <v>2.67</v>
      </c>
      <c r="M182" s="3" t="s">
        <v>35</v>
      </c>
      <c r="N182" s="3">
        <v>1.25</v>
      </c>
      <c r="O182" s="3">
        <v>3.17</v>
      </c>
      <c r="P182" s="3">
        <v>3.19</v>
      </c>
      <c r="Q182" s="91">
        <v>2.75</v>
      </c>
    </row>
    <row r="183" spans="1:17" x14ac:dyDescent="0.2">
      <c r="A183" s="95" t="s">
        <v>205</v>
      </c>
      <c r="B183" s="3">
        <v>2.5299999999999998</v>
      </c>
      <c r="C183" s="3">
        <v>1.0900000000000001</v>
      </c>
      <c r="D183" s="3">
        <v>1.72</v>
      </c>
      <c r="E183" s="3">
        <v>1.84</v>
      </c>
      <c r="F183" s="3">
        <v>1.55</v>
      </c>
      <c r="G183" s="6">
        <v>1.6</v>
      </c>
      <c r="H183" s="3">
        <v>1.43</v>
      </c>
      <c r="I183" s="3">
        <v>3.03</v>
      </c>
      <c r="J183" s="128">
        <v>2.4700000000000002</v>
      </c>
      <c r="K183" s="128">
        <v>3.61</v>
      </c>
      <c r="L183" s="3">
        <v>2.68</v>
      </c>
      <c r="M183" s="3" t="s">
        <v>35</v>
      </c>
      <c r="N183" s="3">
        <v>1.23</v>
      </c>
      <c r="O183" s="3">
        <v>3.14</v>
      </c>
      <c r="P183" s="3">
        <v>3.17</v>
      </c>
      <c r="Q183" s="91">
        <v>2.81</v>
      </c>
    </row>
    <row r="184" spans="1:17" x14ac:dyDescent="0.2">
      <c r="A184" s="95" t="s">
        <v>206</v>
      </c>
      <c r="B184" s="3">
        <v>2.81</v>
      </c>
      <c r="C184" s="3">
        <v>1.1000000000000001</v>
      </c>
      <c r="D184" s="3">
        <v>1.72</v>
      </c>
      <c r="E184" s="3">
        <v>1.87</v>
      </c>
      <c r="F184" s="3">
        <v>1.56</v>
      </c>
      <c r="G184" s="3">
        <v>1.58</v>
      </c>
      <c r="H184" s="3">
        <v>1.41</v>
      </c>
      <c r="I184" s="6">
        <v>3</v>
      </c>
      <c r="J184" s="128">
        <v>2.52</v>
      </c>
      <c r="K184" s="128">
        <v>3.61</v>
      </c>
      <c r="L184" s="3">
        <v>2.71</v>
      </c>
      <c r="M184" s="3" t="s">
        <v>35</v>
      </c>
      <c r="N184" s="3">
        <v>1.23</v>
      </c>
      <c r="O184" s="3">
        <v>3.21</v>
      </c>
      <c r="P184" s="3">
        <v>3.24</v>
      </c>
      <c r="Q184" s="91">
        <v>2.91</v>
      </c>
    </row>
    <row r="185" spans="1:17" x14ac:dyDescent="0.2">
      <c r="A185" s="95" t="s">
        <v>207</v>
      </c>
      <c r="B185" s="3">
        <v>2.4700000000000002</v>
      </c>
      <c r="C185" s="3">
        <v>1.06</v>
      </c>
      <c r="D185" s="3">
        <v>1.75</v>
      </c>
      <c r="E185" s="6">
        <v>1.9</v>
      </c>
      <c r="F185" s="3">
        <v>1.57</v>
      </c>
      <c r="G185" s="3">
        <v>1.62</v>
      </c>
      <c r="H185" s="3">
        <v>1.45</v>
      </c>
      <c r="I185" s="3">
        <v>2.98</v>
      </c>
      <c r="J185" s="128">
        <v>2.5499999999999998</v>
      </c>
      <c r="K185" s="128">
        <v>3.53</v>
      </c>
      <c r="L185" s="3">
        <v>2.64</v>
      </c>
      <c r="M185" s="3" t="s">
        <v>35</v>
      </c>
      <c r="N185" s="3">
        <v>1.25</v>
      </c>
      <c r="O185" s="3">
        <v>3.23</v>
      </c>
      <c r="P185" s="3">
        <v>3.27</v>
      </c>
      <c r="Q185" s="91">
        <v>2.96</v>
      </c>
    </row>
    <row r="186" spans="1:17" x14ac:dyDescent="0.2">
      <c r="A186" s="95" t="s">
        <v>208</v>
      </c>
      <c r="B186" s="3">
        <v>2.57</v>
      </c>
      <c r="C186" s="3">
        <v>1.02</v>
      </c>
      <c r="D186" s="3">
        <v>1.75</v>
      </c>
      <c r="E186" s="3">
        <v>1.91</v>
      </c>
      <c r="F186" s="3">
        <v>1.57</v>
      </c>
      <c r="G186" s="3">
        <v>1.59</v>
      </c>
      <c r="H186" s="3">
        <v>1.33</v>
      </c>
      <c r="I186" s="3">
        <v>2.96</v>
      </c>
      <c r="J186" s="128">
        <v>2.52</v>
      </c>
      <c r="K186" s="128">
        <v>3.4</v>
      </c>
      <c r="L186" s="3">
        <v>2.57</v>
      </c>
      <c r="M186" s="3" t="s">
        <v>35</v>
      </c>
      <c r="N186" s="3">
        <v>1.21</v>
      </c>
      <c r="O186" s="3">
        <v>3.32</v>
      </c>
      <c r="P186" s="3">
        <v>3.36</v>
      </c>
      <c r="Q186" s="91">
        <v>3.07</v>
      </c>
    </row>
    <row r="187" spans="1:17" x14ac:dyDescent="0.2">
      <c r="A187" s="95" t="s">
        <v>209</v>
      </c>
      <c r="B187" s="3">
        <v>2.46</v>
      </c>
      <c r="C187" s="3">
        <v>1.03</v>
      </c>
      <c r="D187" s="3">
        <v>1.74</v>
      </c>
      <c r="E187" s="3">
        <v>1.89</v>
      </c>
      <c r="F187" s="3">
        <v>1.57</v>
      </c>
      <c r="G187" s="3">
        <v>1.64</v>
      </c>
      <c r="H187" s="3">
        <v>1.46</v>
      </c>
      <c r="I187" s="3">
        <v>2.96</v>
      </c>
      <c r="J187" s="128">
        <v>2.4900000000000002</v>
      </c>
      <c r="K187" s="128">
        <v>3.35</v>
      </c>
      <c r="L187" s="3">
        <v>2.57</v>
      </c>
      <c r="M187" s="3" t="s">
        <v>35</v>
      </c>
      <c r="N187" s="3">
        <v>1.22</v>
      </c>
      <c r="O187" s="3">
        <v>3.28</v>
      </c>
      <c r="P187" s="3">
        <v>3.33</v>
      </c>
      <c r="Q187" s="91">
        <v>3.07</v>
      </c>
    </row>
    <row r="188" spans="1:17" x14ac:dyDescent="0.2">
      <c r="A188" s="95" t="s">
        <v>210</v>
      </c>
      <c r="B188" s="3">
        <v>2.25</v>
      </c>
      <c r="C188" s="3">
        <v>1.01</v>
      </c>
      <c r="D188" s="3">
        <v>1.73</v>
      </c>
      <c r="E188" s="3">
        <v>1.84</v>
      </c>
      <c r="F188" s="3">
        <v>1.55</v>
      </c>
      <c r="G188" s="3">
        <v>1.62</v>
      </c>
      <c r="H188" s="3">
        <v>1.45</v>
      </c>
      <c r="I188" s="3">
        <v>3.08</v>
      </c>
      <c r="J188" s="128">
        <v>2.52</v>
      </c>
      <c r="K188" s="128">
        <v>3.53</v>
      </c>
      <c r="L188" s="3">
        <v>2.57</v>
      </c>
      <c r="M188" s="3" t="s">
        <v>35</v>
      </c>
      <c r="N188" s="3">
        <v>1.25</v>
      </c>
      <c r="O188" s="3">
        <v>3.15</v>
      </c>
      <c r="P188" s="6">
        <v>3.2</v>
      </c>
      <c r="Q188" s="96">
        <v>3.1</v>
      </c>
    </row>
    <row r="189" spans="1:17" x14ac:dyDescent="0.2">
      <c r="A189" s="95" t="s">
        <v>211</v>
      </c>
      <c r="B189" s="3">
        <v>2.33</v>
      </c>
      <c r="C189" s="3">
        <v>1.02</v>
      </c>
      <c r="D189" s="3">
        <v>1.75</v>
      </c>
      <c r="E189" s="3">
        <v>1.91</v>
      </c>
      <c r="F189" s="6">
        <v>1.6</v>
      </c>
      <c r="G189" s="3">
        <v>1.66</v>
      </c>
      <c r="H189" s="3">
        <v>1.48</v>
      </c>
      <c r="I189" s="6">
        <v>3</v>
      </c>
      <c r="J189" s="128">
        <v>2.5499999999999998</v>
      </c>
      <c r="K189" s="128">
        <v>3.48</v>
      </c>
      <c r="L189" s="3">
        <v>2.5299999999999998</v>
      </c>
      <c r="M189" s="3" t="s">
        <v>35</v>
      </c>
      <c r="N189" s="3">
        <v>1.25</v>
      </c>
      <c r="O189" s="3">
        <v>3.31</v>
      </c>
      <c r="P189" s="3">
        <v>3.36</v>
      </c>
      <c r="Q189" s="91">
        <v>3.05</v>
      </c>
    </row>
    <row r="190" spans="1:17" x14ac:dyDescent="0.2">
      <c r="A190" s="95" t="s">
        <v>212</v>
      </c>
      <c r="B190" s="3">
        <v>2.16</v>
      </c>
      <c r="C190" s="3">
        <v>1.01</v>
      </c>
      <c r="D190" s="3">
        <v>1.76</v>
      </c>
      <c r="E190" s="3">
        <v>1.91</v>
      </c>
      <c r="F190" s="3">
        <v>1.62</v>
      </c>
      <c r="G190" s="3">
        <v>1.66</v>
      </c>
      <c r="H190" s="3">
        <v>1.49</v>
      </c>
      <c r="I190" s="3">
        <v>2.96</v>
      </c>
      <c r="J190" s="128">
        <v>2.52</v>
      </c>
      <c r="K190" s="128">
        <v>3.52</v>
      </c>
      <c r="L190" s="3">
        <v>2.4900000000000002</v>
      </c>
      <c r="M190" s="3" t="s">
        <v>35</v>
      </c>
      <c r="N190" s="3">
        <v>1.24</v>
      </c>
      <c r="O190" s="3">
        <v>3.39</v>
      </c>
      <c r="P190" s="3">
        <v>3.44</v>
      </c>
      <c r="Q190" s="91">
        <v>3.11</v>
      </c>
    </row>
    <row r="191" spans="1:17" x14ac:dyDescent="0.2">
      <c r="A191" s="95" t="s">
        <v>213</v>
      </c>
      <c r="B191" s="3">
        <v>2.16</v>
      </c>
      <c r="C191" s="3">
        <v>1.05</v>
      </c>
      <c r="D191" s="3">
        <v>1.76</v>
      </c>
      <c r="E191" s="3">
        <v>1.92</v>
      </c>
      <c r="F191" s="3">
        <v>1.62</v>
      </c>
      <c r="G191" s="3">
        <v>1.62</v>
      </c>
      <c r="H191" s="3">
        <v>1.47</v>
      </c>
      <c r="I191" s="3">
        <v>2.97</v>
      </c>
      <c r="J191" s="128">
        <v>2.5299999999999998</v>
      </c>
      <c r="K191" s="128">
        <v>3.56</v>
      </c>
      <c r="L191" s="3">
        <v>2.52</v>
      </c>
      <c r="M191" s="3" t="s">
        <v>35</v>
      </c>
      <c r="N191" s="3">
        <v>1.28</v>
      </c>
      <c r="O191" s="3">
        <v>3.37</v>
      </c>
      <c r="P191" s="3">
        <v>3.42</v>
      </c>
      <c r="Q191" s="91">
        <v>3.04</v>
      </c>
    </row>
    <row r="192" spans="1:17" x14ac:dyDescent="0.2">
      <c r="A192" s="97" t="s">
        <v>214</v>
      </c>
      <c r="B192" s="19">
        <v>2.23</v>
      </c>
      <c r="C192" s="35">
        <v>1.1000000000000001</v>
      </c>
      <c r="D192" s="19">
        <v>1.79</v>
      </c>
      <c r="E192" s="35">
        <v>1.94</v>
      </c>
      <c r="F192" s="19">
        <v>1.64</v>
      </c>
      <c r="G192" s="35">
        <v>1.6</v>
      </c>
      <c r="H192" s="19">
        <v>1.44</v>
      </c>
      <c r="I192" s="19">
        <v>2.93</v>
      </c>
      <c r="J192" s="131">
        <v>2.46</v>
      </c>
      <c r="K192" s="131">
        <v>3.6</v>
      </c>
      <c r="L192" s="19">
        <v>2.59</v>
      </c>
      <c r="M192" s="19" t="s">
        <v>35</v>
      </c>
      <c r="N192" s="19">
        <v>1.28</v>
      </c>
      <c r="O192" s="19">
        <v>3.43</v>
      </c>
      <c r="P192" s="19">
        <v>3.49</v>
      </c>
      <c r="Q192" s="98">
        <v>3.08</v>
      </c>
    </row>
    <row r="193" spans="1:17" x14ac:dyDescent="0.2">
      <c r="A193" s="97" t="s">
        <v>215</v>
      </c>
      <c r="B193" s="19">
        <v>2.2400000000000002</v>
      </c>
      <c r="C193" s="35">
        <v>1.1200000000000001</v>
      </c>
      <c r="D193" s="19">
        <v>1.81</v>
      </c>
      <c r="E193" s="19">
        <v>1.95</v>
      </c>
      <c r="F193" s="19">
        <f>3.3*0.5</f>
        <v>1.65</v>
      </c>
      <c r="G193" s="35">
        <v>1.6</v>
      </c>
      <c r="H193" s="19">
        <v>1.43</v>
      </c>
      <c r="I193" s="19">
        <v>2.96</v>
      </c>
      <c r="J193" s="131">
        <v>2.488</v>
      </c>
      <c r="K193" s="131">
        <v>3.6320000000000001</v>
      </c>
      <c r="L193" s="19">
        <v>2.63</v>
      </c>
      <c r="M193" s="19" t="s">
        <v>35</v>
      </c>
      <c r="N193" s="19">
        <v>1.33</v>
      </c>
      <c r="O193" s="19">
        <v>3.44</v>
      </c>
      <c r="P193" s="19">
        <v>3.47</v>
      </c>
      <c r="Q193" s="98">
        <v>3.07</v>
      </c>
    </row>
    <row r="194" spans="1:17" x14ac:dyDescent="0.2">
      <c r="A194" s="95" t="s">
        <v>216</v>
      </c>
      <c r="B194" s="3">
        <v>2.23</v>
      </c>
      <c r="C194" s="3">
        <v>1.1299999999999999</v>
      </c>
      <c r="D194" s="3">
        <v>1.82</v>
      </c>
      <c r="E194" s="3">
        <v>1.98</v>
      </c>
      <c r="F194" s="3">
        <v>1.67</v>
      </c>
      <c r="G194" s="3">
        <v>1.59</v>
      </c>
      <c r="H194" s="3">
        <v>1.44</v>
      </c>
      <c r="I194" s="3">
        <v>2.97</v>
      </c>
      <c r="J194" s="128">
        <v>2.42</v>
      </c>
      <c r="K194" s="128">
        <v>3.61</v>
      </c>
      <c r="L194" s="3">
        <v>2.66</v>
      </c>
      <c r="M194" s="3" t="s">
        <v>35</v>
      </c>
      <c r="N194" s="3">
        <v>1.31</v>
      </c>
      <c r="O194" s="6">
        <v>3.5</v>
      </c>
      <c r="P194" s="3">
        <v>3.53</v>
      </c>
      <c r="Q194" s="91">
        <v>3.16</v>
      </c>
    </row>
    <row r="195" spans="1:17" x14ac:dyDescent="0.2">
      <c r="A195" s="95" t="s">
        <v>217</v>
      </c>
      <c r="B195" s="3">
        <v>2.13</v>
      </c>
      <c r="C195" s="6">
        <v>1.2</v>
      </c>
      <c r="D195" s="3" t="s">
        <v>35</v>
      </c>
      <c r="E195" s="6">
        <v>2</v>
      </c>
      <c r="F195" s="3">
        <v>1.68</v>
      </c>
      <c r="G195" s="3">
        <v>1.57</v>
      </c>
      <c r="H195" s="6">
        <v>1.4</v>
      </c>
      <c r="I195" s="6">
        <v>3</v>
      </c>
      <c r="J195" s="128">
        <v>2.42</v>
      </c>
      <c r="K195" s="128">
        <v>3.61</v>
      </c>
      <c r="L195" s="3">
        <v>2.65</v>
      </c>
      <c r="M195" s="3" t="s">
        <v>35</v>
      </c>
      <c r="N195" s="3">
        <v>1.35</v>
      </c>
      <c r="O195" s="3">
        <v>3.45</v>
      </c>
      <c r="P195" s="3">
        <v>3.49</v>
      </c>
      <c r="Q195" s="91">
        <v>3.19</v>
      </c>
    </row>
    <row r="196" spans="1:17" x14ac:dyDescent="0.2">
      <c r="A196" s="95" t="s">
        <v>218</v>
      </c>
      <c r="B196" s="6">
        <v>2.2000000000000002</v>
      </c>
      <c r="C196" s="3">
        <v>1.24</v>
      </c>
      <c r="D196" s="3" t="s">
        <v>35</v>
      </c>
      <c r="E196" s="6">
        <v>2.0299999999999998</v>
      </c>
      <c r="F196" s="6">
        <v>1.7</v>
      </c>
      <c r="G196" s="6">
        <v>1.57</v>
      </c>
      <c r="H196" s="6">
        <v>1.4</v>
      </c>
      <c r="I196" s="6">
        <v>3.1</v>
      </c>
      <c r="J196" s="128">
        <v>2.61</v>
      </c>
      <c r="K196" s="128">
        <v>3.94</v>
      </c>
      <c r="L196" s="6">
        <v>2.68</v>
      </c>
      <c r="M196" s="3" t="s">
        <v>35</v>
      </c>
      <c r="N196" s="3">
        <v>1.36</v>
      </c>
      <c r="O196" s="3">
        <v>3.38</v>
      </c>
      <c r="P196" s="3">
        <v>3.44</v>
      </c>
      <c r="Q196" s="91">
        <v>3.15</v>
      </c>
    </row>
    <row r="197" spans="1:17" x14ac:dyDescent="0.2">
      <c r="A197" s="95" t="s">
        <v>219</v>
      </c>
      <c r="B197" s="3">
        <v>2.13</v>
      </c>
      <c r="C197" s="3">
        <v>1.1399999999999999</v>
      </c>
      <c r="D197" s="3" t="s">
        <v>35</v>
      </c>
      <c r="E197" s="3">
        <v>2.06</v>
      </c>
      <c r="F197" s="3">
        <v>1.72</v>
      </c>
      <c r="G197" s="3">
        <v>1.61</v>
      </c>
      <c r="H197" s="3">
        <v>1.43</v>
      </c>
      <c r="I197" s="3">
        <v>3.17</v>
      </c>
      <c r="J197" s="128">
        <v>2.71</v>
      </c>
      <c r="K197" s="128">
        <v>4.24</v>
      </c>
      <c r="L197" s="3">
        <v>2.72</v>
      </c>
      <c r="M197" s="3" t="s">
        <v>35</v>
      </c>
      <c r="N197" s="3">
        <v>1.36</v>
      </c>
      <c r="O197" s="3">
        <v>3.34</v>
      </c>
      <c r="P197" s="3">
        <v>3.41</v>
      </c>
      <c r="Q197" s="91">
        <v>3.12</v>
      </c>
    </row>
    <row r="198" spans="1:17" x14ac:dyDescent="0.2">
      <c r="A198" s="95" t="s">
        <v>220</v>
      </c>
      <c r="B198" s="3">
        <v>2.16</v>
      </c>
      <c r="C198" s="6">
        <v>1.1599999999999999</v>
      </c>
      <c r="D198" s="3" t="s">
        <v>35</v>
      </c>
      <c r="E198" s="3">
        <v>2.06</v>
      </c>
      <c r="F198" s="3">
        <v>1.73</v>
      </c>
      <c r="G198" s="3">
        <v>1.53</v>
      </c>
      <c r="H198" s="3">
        <v>1.38</v>
      </c>
      <c r="I198" s="3">
        <v>3.22</v>
      </c>
      <c r="J198" s="128">
        <v>2.74</v>
      </c>
      <c r="K198" s="128">
        <v>4.28</v>
      </c>
      <c r="L198" s="3">
        <v>2.78</v>
      </c>
      <c r="M198" s="3" t="s">
        <v>35</v>
      </c>
      <c r="N198" s="3">
        <v>1.36</v>
      </c>
      <c r="O198" s="3">
        <v>3.43</v>
      </c>
      <c r="P198" s="6">
        <v>3.5</v>
      </c>
      <c r="Q198" s="91">
        <v>3.31</v>
      </c>
    </row>
    <row r="199" spans="1:17" x14ac:dyDescent="0.2">
      <c r="A199" s="95" t="s">
        <v>221</v>
      </c>
      <c r="B199" s="3">
        <v>2.14</v>
      </c>
      <c r="C199" s="3">
        <v>1.19</v>
      </c>
      <c r="D199" s="3" t="s">
        <v>35</v>
      </c>
      <c r="E199" s="3">
        <v>2.06</v>
      </c>
      <c r="F199" s="3">
        <v>1.74</v>
      </c>
      <c r="G199" s="3">
        <v>1.53</v>
      </c>
      <c r="H199" s="3">
        <v>1.38</v>
      </c>
      <c r="I199" s="3">
        <v>3.15</v>
      </c>
      <c r="J199" s="128">
        <v>2.52</v>
      </c>
      <c r="K199" s="128">
        <v>4.0599999999999996</v>
      </c>
      <c r="L199" s="3">
        <v>2.76</v>
      </c>
      <c r="M199" s="3" t="s">
        <v>35</v>
      </c>
      <c r="N199" s="3">
        <v>1.41</v>
      </c>
      <c r="O199" s="3">
        <v>3.38</v>
      </c>
      <c r="P199" s="3">
        <v>3.47</v>
      </c>
      <c r="Q199" s="91">
        <v>3.35</v>
      </c>
    </row>
    <row r="200" spans="1:17" x14ac:dyDescent="0.2">
      <c r="A200" s="95" t="s">
        <v>222</v>
      </c>
      <c r="B200" s="3">
        <v>2.16</v>
      </c>
      <c r="C200" s="6">
        <v>1.1000000000000001</v>
      </c>
      <c r="D200" s="3" t="s">
        <v>35</v>
      </c>
      <c r="E200" s="3">
        <v>2.06</v>
      </c>
      <c r="F200" s="3">
        <v>1.74</v>
      </c>
      <c r="G200" s="3">
        <v>1.53</v>
      </c>
      <c r="H200" s="3">
        <v>1.38</v>
      </c>
      <c r="I200" s="3">
        <v>3.15</v>
      </c>
      <c r="J200" s="128">
        <v>2.41</v>
      </c>
      <c r="K200" s="128">
        <v>3.99</v>
      </c>
      <c r="L200" s="6">
        <v>2.7</v>
      </c>
      <c r="M200" s="3" t="s">
        <v>35</v>
      </c>
      <c r="N200" s="3">
        <v>1.41</v>
      </c>
      <c r="O200" s="3">
        <v>3.38</v>
      </c>
      <c r="P200" s="3">
        <v>3.43</v>
      </c>
      <c r="Q200" s="91">
        <v>3.39</v>
      </c>
    </row>
    <row r="201" spans="1:17" x14ac:dyDescent="0.2">
      <c r="A201" s="95" t="s">
        <v>223</v>
      </c>
      <c r="B201" s="3">
        <v>2.15</v>
      </c>
      <c r="C201" s="6">
        <v>1.1399999999999999</v>
      </c>
      <c r="D201" s="3" t="s">
        <v>35</v>
      </c>
      <c r="E201" s="3">
        <v>2.06</v>
      </c>
      <c r="F201" s="3">
        <v>1.75</v>
      </c>
      <c r="G201" s="3">
        <v>1.52</v>
      </c>
      <c r="H201" s="3">
        <v>1.38</v>
      </c>
      <c r="I201" s="3">
        <v>3.16</v>
      </c>
      <c r="J201" s="128">
        <v>2.4700000000000002</v>
      </c>
      <c r="K201" s="128">
        <v>3.16</v>
      </c>
      <c r="L201" s="3">
        <v>2.72</v>
      </c>
      <c r="M201" s="3" t="s">
        <v>35</v>
      </c>
      <c r="N201" s="6">
        <v>1.4</v>
      </c>
      <c r="O201" s="3">
        <v>3.32</v>
      </c>
      <c r="P201" s="3">
        <v>3.36</v>
      </c>
      <c r="Q201" s="91">
        <v>3.34</v>
      </c>
    </row>
    <row r="202" spans="1:17" x14ac:dyDescent="0.2">
      <c r="A202" s="95" t="s">
        <v>224</v>
      </c>
      <c r="B202" s="3">
        <v>2.12</v>
      </c>
      <c r="C202" s="6">
        <v>1.1000000000000001</v>
      </c>
      <c r="D202" s="3" t="s">
        <v>35</v>
      </c>
      <c r="E202" s="3">
        <v>2.06</v>
      </c>
      <c r="F202" s="3">
        <v>1.75</v>
      </c>
      <c r="G202" s="3">
        <v>1.52</v>
      </c>
      <c r="H202" s="3">
        <v>1.38</v>
      </c>
      <c r="I202" s="3">
        <v>3.11</v>
      </c>
      <c r="J202" s="128">
        <v>2.46</v>
      </c>
      <c r="K202" s="128">
        <v>4.04</v>
      </c>
      <c r="L202" s="3">
        <v>2.73</v>
      </c>
      <c r="M202" s="3" t="s">
        <v>35</v>
      </c>
      <c r="N202" s="6">
        <v>1.4</v>
      </c>
      <c r="O202" s="3">
        <v>3.32</v>
      </c>
      <c r="P202" s="3">
        <v>3.36</v>
      </c>
      <c r="Q202" s="91">
        <v>3.28</v>
      </c>
    </row>
    <row r="203" spans="1:17" x14ac:dyDescent="0.2">
      <c r="A203" s="95" t="s">
        <v>225</v>
      </c>
      <c r="B203" s="3">
        <v>2.12</v>
      </c>
      <c r="C203" s="6">
        <v>1.1200000000000001</v>
      </c>
      <c r="D203" s="3" t="s">
        <v>35</v>
      </c>
      <c r="E203" s="3">
        <v>2.06</v>
      </c>
      <c r="F203" s="3">
        <v>1.75</v>
      </c>
      <c r="G203" s="3">
        <v>1.53</v>
      </c>
      <c r="H203" s="3">
        <v>1.43</v>
      </c>
      <c r="I203" s="3">
        <v>3.14</v>
      </c>
      <c r="J203" s="128">
        <v>2.4700000000000002</v>
      </c>
      <c r="K203" s="128">
        <v>4.01</v>
      </c>
      <c r="L203" s="3">
        <v>2.78</v>
      </c>
      <c r="M203" s="3" t="s">
        <v>35</v>
      </c>
      <c r="N203" s="6">
        <v>1.41</v>
      </c>
      <c r="O203" s="3">
        <v>3.37</v>
      </c>
      <c r="P203" s="3">
        <v>3.39</v>
      </c>
      <c r="Q203" s="91">
        <v>3.29</v>
      </c>
    </row>
    <row r="204" spans="1:17" x14ac:dyDescent="0.2">
      <c r="A204" s="95" t="s">
        <v>226</v>
      </c>
      <c r="B204" s="3">
        <v>2.17</v>
      </c>
      <c r="C204" s="6">
        <v>1.17</v>
      </c>
      <c r="D204" s="3">
        <v>1.89</v>
      </c>
      <c r="E204" s="3">
        <v>2.0499999999999998</v>
      </c>
      <c r="F204" s="3">
        <v>1.75</v>
      </c>
      <c r="G204" s="3">
        <v>1.52</v>
      </c>
      <c r="H204" s="3">
        <v>1.43</v>
      </c>
      <c r="I204" s="3">
        <v>3.16</v>
      </c>
      <c r="J204" s="128">
        <v>2.36</v>
      </c>
      <c r="K204" s="128">
        <v>3.99</v>
      </c>
      <c r="L204" s="3">
        <v>2.79</v>
      </c>
      <c r="M204" s="3" t="s">
        <v>35</v>
      </c>
      <c r="N204" s="3">
        <v>1.38</v>
      </c>
      <c r="O204" s="3">
        <v>3.36</v>
      </c>
      <c r="P204" s="6">
        <v>3.4</v>
      </c>
      <c r="Q204" s="91">
        <v>3.29</v>
      </c>
    </row>
    <row r="205" spans="1:17" x14ac:dyDescent="0.2">
      <c r="A205" s="95" t="s">
        <v>227</v>
      </c>
      <c r="B205" s="3">
        <v>2.08</v>
      </c>
      <c r="C205" s="3">
        <v>1.1399999999999999</v>
      </c>
      <c r="D205" s="3">
        <v>1.89</v>
      </c>
      <c r="E205" s="3">
        <v>2.0499999999999998</v>
      </c>
      <c r="F205" s="3">
        <v>1.75</v>
      </c>
      <c r="G205" s="3">
        <v>1.52</v>
      </c>
      <c r="H205" s="3">
        <v>1.43</v>
      </c>
      <c r="I205" s="3">
        <v>3.19</v>
      </c>
      <c r="J205" s="128">
        <v>2.31</v>
      </c>
      <c r="K205" s="128">
        <v>3.99</v>
      </c>
      <c r="L205" s="3">
        <v>2.78</v>
      </c>
      <c r="M205" s="3" t="s">
        <v>35</v>
      </c>
      <c r="N205" s="3">
        <v>1.38</v>
      </c>
      <c r="O205" s="3">
        <v>3.27</v>
      </c>
      <c r="P205" s="3">
        <v>3.38</v>
      </c>
      <c r="Q205" s="91">
        <v>3.27</v>
      </c>
    </row>
    <row r="206" spans="1:17" x14ac:dyDescent="0.2">
      <c r="A206" s="95" t="s">
        <v>228</v>
      </c>
      <c r="B206" s="3">
        <v>1.98</v>
      </c>
      <c r="C206" s="3">
        <v>1.04</v>
      </c>
      <c r="D206" s="3">
        <v>1.88</v>
      </c>
      <c r="E206" s="3">
        <v>2.04</v>
      </c>
      <c r="F206" s="3">
        <v>1.74</v>
      </c>
      <c r="G206" s="3">
        <v>1.47</v>
      </c>
      <c r="H206" s="3">
        <v>1.37</v>
      </c>
      <c r="I206" s="3">
        <v>3.11</v>
      </c>
      <c r="J206" s="128">
        <v>2.35</v>
      </c>
      <c r="K206" s="128">
        <v>3.97</v>
      </c>
      <c r="L206" s="3">
        <v>2.75</v>
      </c>
      <c r="M206" s="3" t="s">
        <v>35</v>
      </c>
      <c r="N206" s="3">
        <v>1.43</v>
      </c>
      <c r="O206" s="3">
        <v>3.35</v>
      </c>
      <c r="P206" s="3">
        <v>3.36</v>
      </c>
      <c r="Q206" s="91">
        <v>3.24</v>
      </c>
    </row>
    <row r="207" spans="1:17" x14ac:dyDescent="0.2">
      <c r="A207" s="95" t="s">
        <v>229</v>
      </c>
      <c r="B207" s="3">
        <v>2.0699999999999998</v>
      </c>
      <c r="C207" s="6">
        <v>1.07</v>
      </c>
      <c r="D207" s="3">
        <v>1.86</v>
      </c>
      <c r="E207" s="3">
        <v>2.02</v>
      </c>
      <c r="F207" s="3">
        <v>1.73</v>
      </c>
      <c r="G207" s="3">
        <v>1.46</v>
      </c>
      <c r="H207" s="3">
        <v>1.37</v>
      </c>
      <c r="I207" s="3">
        <v>3.14</v>
      </c>
      <c r="J207" s="128">
        <v>2.31</v>
      </c>
      <c r="K207" s="128">
        <v>3.94</v>
      </c>
      <c r="L207" s="3">
        <v>2.76</v>
      </c>
      <c r="M207" s="3" t="s">
        <v>35</v>
      </c>
      <c r="N207" s="3">
        <v>1.46</v>
      </c>
      <c r="O207" s="3">
        <v>3.34</v>
      </c>
      <c r="P207" s="3">
        <v>3.36</v>
      </c>
      <c r="Q207" s="91">
        <v>3.18</v>
      </c>
    </row>
    <row r="208" spans="1:17" x14ac:dyDescent="0.2">
      <c r="A208" s="95" t="s">
        <v>230</v>
      </c>
      <c r="B208" s="3">
        <v>1.99</v>
      </c>
      <c r="C208" s="3">
        <v>0.96</v>
      </c>
      <c r="D208" s="3">
        <v>1.85</v>
      </c>
      <c r="E208" s="3">
        <v>2.0099999999999998</v>
      </c>
      <c r="F208" s="6">
        <v>1.7</v>
      </c>
      <c r="G208" s="3">
        <v>1.49</v>
      </c>
      <c r="H208" s="3">
        <v>1.39</v>
      </c>
      <c r="I208" s="3">
        <v>3.12</v>
      </c>
      <c r="J208" s="128">
        <v>2.31</v>
      </c>
      <c r="K208" s="128">
        <v>3.94</v>
      </c>
      <c r="L208" s="3">
        <v>2.81</v>
      </c>
      <c r="M208" s="3" t="s">
        <v>35</v>
      </c>
      <c r="N208" s="3">
        <v>1.49</v>
      </c>
      <c r="O208" s="3">
        <v>3.35</v>
      </c>
      <c r="P208" s="3">
        <v>3.37</v>
      </c>
      <c r="Q208" s="91">
        <v>3.18</v>
      </c>
    </row>
    <row r="209" spans="1:17" x14ac:dyDescent="0.2">
      <c r="A209" s="95" t="s">
        <v>231</v>
      </c>
      <c r="B209" s="3">
        <v>2.0699999999999998</v>
      </c>
      <c r="C209" s="3">
        <v>1.07</v>
      </c>
      <c r="D209" s="3">
        <v>1.85</v>
      </c>
      <c r="E209" s="6">
        <v>2</v>
      </c>
      <c r="F209" s="6">
        <v>1.7</v>
      </c>
      <c r="G209" s="3">
        <v>1.51</v>
      </c>
      <c r="H209" s="3">
        <v>1.37</v>
      </c>
      <c r="I209" s="3">
        <v>3.02</v>
      </c>
      <c r="J209" s="128">
        <v>2.16</v>
      </c>
      <c r="K209" s="128">
        <v>3.76</v>
      </c>
      <c r="L209" s="3">
        <v>2.77</v>
      </c>
      <c r="M209" s="3" t="s">
        <v>35</v>
      </c>
      <c r="N209" s="3">
        <v>1.48</v>
      </c>
      <c r="O209" s="3">
        <v>3.36</v>
      </c>
      <c r="P209" s="3">
        <v>3.39</v>
      </c>
      <c r="Q209" s="91">
        <v>3.21</v>
      </c>
    </row>
    <row r="210" spans="1:17" x14ac:dyDescent="0.2">
      <c r="A210" s="95" t="s">
        <v>232</v>
      </c>
      <c r="B210" s="3">
        <v>2.12</v>
      </c>
      <c r="C210" s="3">
        <v>1.01</v>
      </c>
      <c r="D210" s="3">
        <v>1.85</v>
      </c>
      <c r="E210" s="6">
        <v>2</v>
      </c>
      <c r="F210" s="6">
        <v>1.7</v>
      </c>
      <c r="G210" s="3">
        <v>1.52</v>
      </c>
      <c r="H210" s="3">
        <v>1.37</v>
      </c>
      <c r="I210" s="3">
        <v>3.08</v>
      </c>
      <c r="J210" s="128">
        <v>2.15</v>
      </c>
      <c r="K210" s="128">
        <v>3.88</v>
      </c>
      <c r="L210" s="3">
        <v>2.73</v>
      </c>
      <c r="M210" s="3" t="s">
        <v>35</v>
      </c>
      <c r="N210" s="3">
        <v>1.44</v>
      </c>
      <c r="O210" s="3">
        <v>3.32</v>
      </c>
      <c r="P210" s="3">
        <v>3.35</v>
      </c>
      <c r="Q210" s="91">
        <v>3.23</v>
      </c>
    </row>
    <row r="211" spans="1:17" x14ac:dyDescent="0.2">
      <c r="A211" s="95" t="s">
        <v>233</v>
      </c>
      <c r="B211" s="3">
        <v>2.09</v>
      </c>
      <c r="C211" s="3">
        <v>1.03</v>
      </c>
      <c r="D211" s="3">
        <v>1.88</v>
      </c>
      <c r="E211" s="3">
        <v>2.0299999999999998</v>
      </c>
      <c r="F211" s="3">
        <v>1.72</v>
      </c>
      <c r="G211" s="3">
        <v>1.48</v>
      </c>
      <c r="H211" s="3">
        <v>1.34</v>
      </c>
      <c r="I211" s="3">
        <v>3.06</v>
      </c>
      <c r="J211" s="128">
        <v>2.11</v>
      </c>
      <c r="K211" s="128">
        <v>3.89</v>
      </c>
      <c r="L211" s="3">
        <v>2.74</v>
      </c>
      <c r="M211" s="3" t="s">
        <v>35</v>
      </c>
      <c r="N211" s="3">
        <v>1.45</v>
      </c>
      <c r="O211" s="3">
        <v>3.29</v>
      </c>
      <c r="P211" s="3">
        <v>3.32</v>
      </c>
      <c r="Q211" s="91">
        <v>3.32</v>
      </c>
    </row>
    <row r="212" spans="1:17" x14ac:dyDescent="0.2">
      <c r="A212" s="95" t="s">
        <v>234</v>
      </c>
      <c r="B212" s="3">
        <v>2.11</v>
      </c>
      <c r="C212" s="6">
        <v>0.94</v>
      </c>
      <c r="D212" s="3">
        <v>1.88</v>
      </c>
      <c r="E212" s="3">
        <v>2.0299999999999998</v>
      </c>
      <c r="F212" s="3">
        <v>1.72</v>
      </c>
      <c r="G212" s="3">
        <v>1.49</v>
      </c>
      <c r="H212" s="3">
        <v>1.35</v>
      </c>
      <c r="I212" s="3">
        <v>3.07</v>
      </c>
      <c r="J212" s="128">
        <v>2.2000000000000002</v>
      </c>
      <c r="K212" s="128">
        <v>3.97</v>
      </c>
      <c r="L212" s="3">
        <v>2.78</v>
      </c>
      <c r="M212" s="3" t="s">
        <v>35</v>
      </c>
      <c r="N212" s="3">
        <v>1.45</v>
      </c>
      <c r="O212" s="3" t="s">
        <v>22</v>
      </c>
      <c r="P212" s="3" t="s">
        <v>22</v>
      </c>
      <c r="Q212" s="91" t="s">
        <v>22</v>
      </c>
    </row>
    <row r="213" spans="1:17" x14ac:dyDescent="0.2">
      <c r="A213" s="97" t="s">
        <v>235</v>
      </c>
      <c r="B213" s="19">
        <v>2.0699999999999998</v>
      </c>
      <c r="C213" s="35">
        <v>0.96</v>
      </c>
      <c r="D213" s="35">
        <v>1.9</v>
      </c>
      <c r="E213" s="19">
        <v>2.06</v>
      </c>
      <c r="F213" s="19">
        <v>1.74</v>
      </c>
      <c r="G213" s="19">
        <v>1.54</v>
      </c>
      <c r="H213" s="19">
        <v>1.42</v>
      </c>
      <c r="I213" s="19">
        <v>3.12</v>
      </c>
      <c r="J213" s="131">
        <v>2.2200000000000002</v>
      </c>
      <c r="K213" s="131">
        <v>4.1500000000000004</v>
      </c>
      <c r="L213" s="35">
        <v>2.8</v>
      </c>
      <c r="M213" s="19" t="s">
        <v>35</v>
      </c>
      <c r="N213" s="101">
        <v>1.45</v>
      </c>
      <c r="O213" s="19" t="s">
        <v>22</v>
      </c>
      <c r="P213" s="19" t="s">
        <v>22</v>
      </c>
      <c r="Q213" s="98" t="s">
        <v>22</v>
      </c>
    </row>
    <row r="214" spans="1:17" x14ac:dyDescent="0.2">
      <c r="A214" s="95" t="s">
        <v>236</v>
      </c>
      <c r="B214" s="3">
        <v>2.1800000000000002</v>
      </c>
      <c r="C214" s="3">
        <v>1.05</v>
      </c>
      <c r="D214" s="38">
        <v>1.9</v>
      </c>
      <c r="E214" s="3">
        <v>2.06</v>
      </c>
      <c r="F214" s="6">
        <v>1.774</v>
      </c>
      <c r="G214" s="3">
        <v>1.54</v>
      </c>
      <c r="H214" s="3">
        <v>1.42</v>
      </c>
      <c r="I214" s="3">
        <v>3.18</v>
      </c>
      <c r="J214" s="128">
        <v>2.29</v>
      </c>
      <c r="K214" s="128">
        <v>4.24</v>
      </c>
      <c r="L214" s="3">
        <v>2.82</v>
      </c>
      <c r="M214" s="3" t="s">
        <v>35</v>
      </c>
      <c r="N214" s="3">
        <v>1.45</v>
      </c>
      <c r="O214" s="3" t="s">
        <v>22</v>
      </c>
      <c r="P214" s="3" t="s">
        <v>22</v>
      </c>
      <c r="Q214" s="91" t="s">
        <v>22</v>
      </c>
    </row>
    <row r="215" spans="1:17" x14ac:dyDescent="0.2">
      <c r="A215" s="95" t="s">
        <v>238</v>
      </c>
      <c r="B215" s="3">
        <v>2.02</v>
      </c>
      <c r="C215" s="6">
        <v>0.98</v>
      </c>
      <c r="D215" s="3">
        <v>1.92</v>
      </c>
      <c r="E215" s="3">
        <v>2.09</v>
      </c>
      <c r="F215" s="3">
        <v>1.77</v>
      </c>
      <c r="G215" s="3">
        <v>1.52</v>
      </c>
      <c r="H215" s="3">
        <v>1.42</v>
      </c>
      <c r="I215" s="3">
        <v>3.21</v>
      </c>
      <c r="J215" s="128" t="s">
        <v>237</v>
      </c>
      <c r="K215" s="128">
        <v>4.29</v>
      </c>
      <c r="L215" s="3">
        <v>2.82</v>
      </c>
      <c r="M215" s="3" t="s">
        <v>35</v>
      </c>
      <c r="N215" s="3">
        <v>1.45</v>
      </c>
      <c r="O215" s="19" t="s">
        <v>22</v>
      </c>
      <c r="P215" s="19" t="s">
        <v>22</v>
      </c>
      <c r="Q215" s="98" t="s">
        <v>22</v>
      </c>
    </row>
    <row r="216" spans="1:17" x14ac:dyDescent="0.2">
      <c r="A216" s="95" t="s">
        <v>239</v>
      </c>
      <c r="B216" s="3">
        <v>2.0099999999999998</v>
      </c>
      <c r="C216" s="3">
        <v>0.94</v>
      </c>
      <c r="D216" s="3">
        <v>1.92</v>
      </c>
      <c r="E216" s="3">
        <v>2.08</v>
      </c>
      <c r="F216" s="3">
        <v>1.77</v>
      </c>
      <c r="G216" s="3">
        <v>1.52</v>
      </c>
      <c r="H216" s="3">
        <v>1.42</v>
      </c>
      <c r="I216" s="3">
        <v>3.18</v>
      </c>
      <c r="J216" s="128">
        <v>2.2599999999999998</v>
      </c>
      <c r="K216" s="128">
        <v>4.07</v>
      </c>
      <c r="L216" s="3">
        <v>2.73</v>
      </c>
      <c r="M216" s="3" t="s">
        <v>35</v>
      </c>
      <c r="N216" s="3">
        <v>1.51</v>
      </c>
      <c r="O216" s="19">
        <v>3.28</v>
      </c>
      <c r="P216" s="35">
        <v>3.3</v>
      </c>
      <c r="Q216" s="98">
        <v>2.64</v>
      </c>
    </row>
    <row r="217" spans="1:17" x14ac:dyDescent="0.2">
      <c r="A217" s="95" t="s">
        <v>240</v>
      </c>
      <c r="B217" s="3">
        <v>2.1800000000000002</v>
      </c>
      <c r="C217" s="3">
        <v>0.96</v>
      </c>
      <c r="D217" s="3">
        <v>1.91</v>
      </c>
      <c r="E217" s="3">
        <v>2.0499999999999998</v>
      </c>
      <c r="F217" s="3">
        <v>1.75</v>
      </c>
      <c r="G217" s="3">
        <v>1.61</v>
      </c>
      <c r="H217" s="3">
        <v>1.47</v>
      </c>
      <c r="I217" s="6">
        <v>3.2</v>
      </c>
      <c r="J217" s="128">
        <v>2.2200000000000002</v>
      </c>
      <c r="K217" s="128">
        <v>4.09</v>
      </c>
      <c r="L217" s="6">
        <v>2.7</v>
      </c>
      <c r="M217" s="3" t="s">
        <v>35</v>
      </c>
      <c r="N217" s="3">
        <v>1.48</v>
      </c>
      <c r="O217" s="3">
        <v>3.25</v>
      </c>
      <c r="P217" s="3">
        <v>3.28</v>
      </c>
      <c r="Q217" s="91">
        <v>3.29</v>
      </c>
    </row>
    <row r="218" spans="1:17" x14ac:dyDescent="0.2">
      <c r="A218" s="95" t="s">
        <v>241</v>
      </c>
      <c r="B218" s="3">
        <v>2.23</v>
      </c>
      <c r="C218" s="3">
        <v>0.98</v>
      </c>
      <c r="D218" s="3">
        <v>1.93</v>
      </c>
      <c r="E218" s="3">
        <v>2.08</v>
      </c>
      <c r="F218" s="3">
        <v>1.77</v>
      </c>
      <c r="G218" s="3">
        <v>1.66</v>
      </c>
      <c r="H218" s="3">
        <v>1.51</v>
      </c>
      <c r="I218" s="3">
        <v>3.29</v>
      </c>
      <c r="J218" s="128">
        <v>2.21</v>
      </c>
      <c r="K218" s="128">
        <v>4.12</v>
      </c>
      <c r="L218" s="3">
        <v>2.76</v>
      </c>
      <c r="M218" s="3" t="s">
        <v>35</v>
      </c>
      <c r="N218" s="3">
        <v>1.51</v>
      </c>
      <c r="O218" s="3">
        <v>3.21</v>
      </c>
      <c r="P218" s="3">
        <v>3.25</v>
      </c>
      <c r="Q218" s="91">
        <v>3.22</v>
      </c>
    </row>
    <row r="219" spans="1:17" x14ac:dyDescent="0.2">
      <c r="A219" s="95" t="s">
        <v>242</v>
      </c>
      <c r="B219" s="3">
        <v>2.29</v>
      </c>
      <c r="C219" s="3">
        <v>1.03</v>
      </c>
      <c r="D219" s="3">
        <v>1.94</v>
      </c>
      <c r="E219" s="3">
        <v>2.09</v>
      </c>
      <c r="F219" s="3">
        <v>1.78</v>
      </c>
      <c r="G219" s="3">
        <v>1.67</v>
      </c>
      <c r="H219" s="3">
        <v>1.57</v>
      </c>
      <c r="I219" s="3">
        <v>3.33</v>
      </c>
      <c r="J219" s="128">
        <v>2.2799999999999998</v>
      </c>
      <c r="K219" s="128">
        <v>4.26</v>
      </c>
      <c r="L219" s="3">
        <v>2.75</v>
      </c>
      <c r="M219" s="3" t="s">
        <v>35</v>
      </c>
      <c r="N219" s="3">
        <v>1.52</v>
      </c>
      <c r="O219" s="3">
        <v>3.19</v>
      </c>
      <c r="P219" s="3">
        <v>3.23</v>
      </c>
      <c r="Q219" s="91">
        <v>3.16</v>
      </c>
    </row>
    <row r="220" spans="1:17" x14ac:dyDescent="0.2">
      <c r="A220" s="95" t="s">
        <v>243</v>
      </c>
      <c r="B220" s="3">
        <v>2.3199999999999998</v>
      </c>
      <c r="C220" s="3">
        <v>0.98</v>
      </c>
      <c r="D220" s="3">
        <v>1.95</v>
      </c>
      <c r="E220" s="3">
        <v>2.12</v>
      </c>
      <c r="F220" s="6">
        <v>1.8</v>
      </c>
      <c r="G220" s="3">
        <v>1.69</v>
      </c>
      <c r="H220" s="3">
        <v>1.58</v>
      </c>
      <c r="I220" s="3">
        <v>3.33</v>
      </c>
      <c r="J220" s="128">
        <v>2.4</v>
      </c>
      <c r="K220" s="128">
        <v>4.18</v>
      </c>
      <c r="L220" s="3">
        <v>2.71</v>
      </c>
      <c r="M220" s="3" t="s">
        <v>35</v>
      </c>
      <c r="N220" s="3">
        <v>1.56</v>
      </c>
      <c r="O220" s="3">
        <v>3.22</v>
      </c>
      <c r="P220" s="3">
        <v>3.24</v>
      </c>
      <c r="Q220" s="91">
        <v>3.11</v>
      </c>
    </row>
    <row r="221" spans="1:17" x14ac:dyDescent="0.2">
      <c r="A221" s="95" t="s">
        <v>244</v>
      </c>
      <c r="B221" s="3">
        <v>2.2400000000000002</v>
      </c>
      <c r="C221" s="3">
        <v>0.97</v>
      </c>
      <c r="D221" s="3">
        <v>1.95</v>
      </c>
      <c r="E221" s="3">
        <v>2.12</v>
      </c>
      <c r="F221" s="6">
        <v>1.8</v>
      </c>
      <c r="G221" s="3">
        <v>1.69</v>
      </c>
      <c r="H221" s="3">
        <v>1.51</v>
      </c>
      <c r="I221" s="3">
        <v>3.33</v>
      </c>
      <c r="J221" s="128">
        <v>2.4900000000000002</v>
      </c>
      <c r="K221" s="128">
        <v>4.0599999999999996</v>
      </c>
      <c r="L221" s="3">
        <v>2.73</v>
      </c>
      <c r="M221" s="3" t="s">
        <v>35</v>
      </c>
      <c r="N221" s="3">
        <v>1.55</v>
      </c>
      <c r="O221" s="3">
        <v>3.16</v>
      </c>
      <c r="P221" s="3">
        <v>3.19</v>
      </c>
      <c r="Q221" s="91">
        <v>2.99</v>
      </c>
    </row>
    <row r="222" spans="1:17" x14ac:dyDescent="0.2">
      <c r="A222" s="95" t="s">
        <v>245</v>
      </c>
      <c r="B222" s="3">
        <v>2.2200000000000002</v>
      </c>
      <c r="C222" s="3">
        <v>0.97</v>
      </c>
      <c r="D222" s="3">
        <v>1.96</v>
      </c>
      <c r="E222" s="3">
        <v>2.11</v>
      </c>
      <c r="F222" s="6">
        <v>1.8</v>
      </c>
      <c r="G222" s="6">
        <v>1.7</v>
      </c>
      <c r="H222" s="6">
        <v>1.5</v>
      </c>
      <c r="I222" s="3">
        <v>3.28</v>
      </c>
      <c r="J222" s="128">
        <v>2.4700000000000002</v>
      </c>
      <c r="K222" s="128">
        <v>3.99</v>
      </c>
      <c r="L222" s="3">
        <v>2.82</v>
      </c>
      <c r="M222" s="3" t="s">
        <v>35</v>
      </c>
      <c r="N222" s="3">
        <v>1.55</v>
      </c>
      <c r="O222" s="3">
        <v>3.19</v>
      </c>
      <c r="P222" s="3">
        <v>3.21</v>
      </c>
      <c r="Q222" s="91">
        <v>2.96</v>
      </c>
    </row>
    <row r="223" spans="1:17" x14ac:dyDescent="0.2">
      <c r="A223" s="95" t="s">
        <v>246</v>
      </c>
      <c r="B223" s="3">
        <v>2.1800000000000002</v>
      </c>
      <c r="C223" s="3">
        <v>1.01</v>
      </c>
      <c r="D223" s="3">
        <v>1.95</v>
      </c>
      <c r="E223" s="3">
        <v>2.09</v>
      </c>
      <c r="F223" s="3">
        <v>1.75</v>
      </c>
      <c r="G223" s="3">
        <v>1.71</v>
      </c>
      <c r="H223" s="6">
        <v>1.5</v>
      </c>
      <c r="I223" s="3">
        <v>3.31</v>
      </c>
      <c r="J223" s="128">
        <v>2.4900000000000002</v>
      </c>
      <c r="K223" s="128">
        <v>4.01</v>
      </c>
      <c r="L223" s="3">
        <v>2.82</v>
      </c>
      <c r="M223" s="3" t="s">
        <v>35</v>
      </c>
      <c r="N223" s="3">
        <v>1.53</v>
      </c>
      <c r="O223" s="3">
        <v>3.17</v>
      </c>
      <c r="P223" s="6">
        <v>3.2</v>
      </c>
      <c r="Q223" s="91">
        <v>2.94</v>
      </c>
    </row>
    <row r="224" spans="1:17" x14ac:dyDescent="0.2">
      <c r="A224" s="95" t="s">
        <v>247</v>
      </c>
      <c r="B224" s="3">
        <v>2.16</v>
      </c>
      <c r="C224" s="3">
        <v>0.94</v>
      </c>
      <c r="D224" s="3">
        <v>1.94</v>
      </c>
      <c r="E224" s="3">
        <v>2.06</v>
      </c>
      <c r="F224" s="3">
        <v>1.74</v>
      </c>
      <c r="G224" s="3">
        <v>1.69</v>
      </c>
      <c r="H224" s="3">
        <v>1.48</v>
      </c>
      <c r="I224" s="6">
        <v>3.3</v>
      </c>
      <c r="J224" s="128">
        <v>2.4700000000000002</v>
      </c>
      <c r="K224" s="128">
        <v>3.99</v>
      </c>
      <c r="L224" s="3">
        <v>2.79</v>
      </c>
      <c r="M224" s="3" t="s">
        <v>35</v>
      </c>
      <c r="N224" s="39">
        <v>1.52</v>
      </c>
      <c r="O224" s="3">
        <v>3.21</v>
      </c>
      <c r="P224" s="3">
        <v>3.23</v>
      </c>
      <c r="Q224" s="91">
        <v>2.88</v>
      </c>
    </row>
    <row r="225" spans="1:69" x14ac:dyDescent="0.2">
      <c r="A225" s="95" t="s">
        <v>248</v>
      </c>
      <c r="B225" s="3">
        <v>2.21</v>
      </c>
      <c r="C225" s="3">
        <v>0.98</v>
      </c>
      <c r="D225" s="3">
        <v>1.94</v>
      </c>
      <c r="E225" s="3">
        <v>2.06</v>
      </c>
      <c r="F225" s="3">
        <v>1.74</v>
      </c>
      <c r="G225" s="3">
        <v>1.67</v>
      </c>
      <c r="H225" s="3">
        <v>1.47</v>
      </c>
      <c r="I225" s="6">
        <v>3.2669999999999999</v>
      </c>
      <c r="J225" s="128">
        <v>2.448</v>
      </c>
      <c r="K225" s="128">
        <v>3.8809999999999998</v>
      </c>
      <c r="L225" s="3">
        <v>2.75</v>
      </c>
      <c r="M225" s="3" t="s">
        <v>35</v>
      </c>
      <c r="N225" s="3">
        <v>1.47</v>
      </c>
      <c r="O225" s="3">
        <v>3.22</v>
      </c>
      <c r="P225" s="3">
        <v>3.25</v>
      </c>
      <c r="Q225" s="91">
        <v>2.81</v>
      </c>
    </row>
    <row r="226" spans="1:69" x14ac:dyDescent="0.2">
      <c r="A226" s="95" t="s">
        <v>249</v>
      </c>
      <c r="B226" s="3">
        <v>2.1800000000000002</v>
      </c>
      <c r="C226" s="3">
        <v>0.96</v>
      </c>
      <c r="D226" s="3">
        <v>1.97</v>
      </c>
      <c r="E226" s="3">
        <v>2.06</v>
      </c>
      <c r="F226" s="3">
        <v>1.75</v>
      </c>
      <c r="G226" s="3">
        <v>1.66</v>
      </c>
      <c r="H226" s="3">
        <v>1.46</v>
      </c>
      <c r="I226" s="6">
        <v>3.28</v>
      </c>
      <c r="J226" s="128">
        <v>2.5249999999999999</v>
      </c>
      <c r="K226" s="128">
        <v>3.96</v>
      </c>
      <c r="L226" s="3">
        <v>2.82</v>
      </c>
      <c r="M226" s="3" t="s">
        <v>35</v>
      </c>
      <c r="N226" s="39" t="s">
        <v>35</v>
      </c>
      <c r="O226" s="3">
        <v>3.22</v>
      </c>
      <c r="P226" s="3">
        <v>3.26</v>
      </c>
      <c r="Q226" s="91">
        <v>2.82</v>
      </c>
    </row>
    <row r="227" spans="1:69" x14ac:dyDescent="0.2">
      <c r="A227" s="97" t="s">
        <v>250</v>
      </c>
      <c r="B227" s="19">
        <v>2.42</v>
      </c>
      <c r="C227" s="19">
        <v>0.94</v>
      </c>
      <c r="D227" s="19">
        <v>1.98</v>
      </c>
      <c r="E227" s="19">
        <v>2.09</v>
      </c>
      <c r="F227" s="19">
        <v>1.76</v>
      </c>
      <c r="G227" s="19">
        <v>1.69</v>
      </c>
      <c r="H227" s="19">
        <v>1.49</v>
      </c>
      <c r="I227" s="35">
        <v>3.3359999999999999</v>
      </c>
      <c r="J227" s="131">
        <v>2.613</v>
      </c>
      <c r="K227" s="131">
        <v>4.0199999999999996</v>
      </c>
      <c r="L227" s="19">
        <v>2.83</v>
      </c>
      <c r="M227" s="19" t="s">
        <v>35</v>
      </c>
      <c r="N227" s="19">
        <v>1.25</v>
      </c>
      <c r="O227" s="19">
        <v>3.26</v>
      </c>
      <c r="P227" s="19">
        <v>3.28</v>
      </c>
      <c r="Q227" s="98">
        <v>2.83</v>
      </c>
    </row>
    <row r="228" spans="1:69" s="41" customFormat="1" x14ac:dyDescent="0.2">
      <c r="A228" s="95" t="s">
        <v>251</v>
      </c>
      <c r="B228" s="6">
        <v>2.2000000000000002</v>
      </c>
      <c r="C228" s="3">
        <v>0.96</v>
      </c>
      <c r="D228" s="3">
        <v>1.99</v>
      </c>
      <c r="E228" s="3">
        <v>2.12</v>
      </c>
      <c r="F228" s="3">
        <v>1.77</v>
      </c>
      <c r="G228" s="3">
        <v>1.66</v>
      </c>
      <c r="H228" s="3">
        <v>1.48</v>
      </c>
      <c r="I228" s="3">
        <v>3.39</v>
      </c>
      <c r="J228" s="128">
        <v>2.64</v>
      </c>
      <c r="K228" s="128">
        <v>4.1100000000000003</v>
      </c>
      <c r="L228" s="6">
        <v>2.8</v>
      </c>
      <c r="M228" s="3" t="s">
        <v>35</v>
      </c>
      <c r="N228" s="3">
        <v>1.47</v>
      </c>
      <c r="O228" s="3">
        <v>3.24</v>
      </c>
      <c r="P228" s="3">
        <v>3.28</v>
      </c>
      <c r="Q228" s="91">
        <v>3.12</v>
      </c>
      <c r="R228" s="40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  <c r="BF228" s="44"/>
      <c r="BG228" s="44"/>
      <c r="BH228" s="44"/>
      <c r="BI228" s="44"/>
      <c r="BJ228" s="44"/>
      <c r="BK228" s="44"/>
      <c r="BL228" s="44"/>
      <c r="BM228" s="44"/>
      <c r="BN228" s="44"/>
      <c r="BO228" s="44"/>
      <c r="BP228" s="44"/>
      <c r="BQ228" s="44"/>
    </row>
    <row r="229" spans="1:69" x14ac:dyDescent="0.2">
      <c r="A229" s="95" t="s">
        <v>252</v>
      </c>
      <c r="B229" s="3">
        <v>2.11</v>
      </c>
      <c r="C229" s="3">
        <v>0.91</v>
      </c>
      <c r="D229" s="3">
        <v>1.97</v>
      </c>
      <c r="E229" s="3">
        <v>2.09</v>
      </c>
      <c r="F229" s="3">
        <v>1.75</v>
      </c>
      <c r="G229" s="3">
        <v>1.61</v>
      </c>
      <c r="H229" s="3">
        <v>1.43</v>
      </c>
      <c r="I229" s="3">
        <v>3.33</v>
      </c>
      <c r="J229" s="128">
        <v>2.59</v>
      </c>
      <c r="K229" s="128">
        <v>3.98</v>
      </c>
      <c r="L229" s="3">
        <v>2.79</v>
      </c>
      <c r="M229" s="3" t="s">
        <v>35</v>
      </c>
      <c r="N229" s="3">
        <v>1.45</v>
      </c>
      <c r="O229" s="3">
        <v>3.17</v>
      </c>
      <c r="P229" s="3">
        <v>3.21</v>
      </c>
      <c r="Q229" s="96">
        <v>3.09</v>
      </c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41"/>
      <c r="AV229" s="41"/>
      <c r="AW229" s="41"/>
      <c r="AX229" s="41"/>
      <c r="AY229" s="41"/>
      <c r="AZ229" s="41"/>
      <c r="BA229" s="41"/>
      <c r="BB229" s="41"/>
      <c r="BC229" s="41"/>
      <c r="BD229" s="41"/>
      <c r="BE229" s="41"/>
      <c r="BF229" s="41"/>
      <c r="BG229" s="41"/>
      <c r="BH229" s="41"/>
      <c r="BI229" s="41"/>
      <c r="BJ229" s="41"/>
      <c r="BK229" s="41"/>
      <c r="BL229" s="41"/>
      <c r="BM229" s="41"/>
      <c r="BN229" s="41"/>
      <c r="BO229" s="41"/>
      <c r="BP229" s="41"/>
      <c r="BQ229" s="41"/>
    </row>
    <row r="230" spans="1:69" x14ac:dyDescent="0.2">
      <c r="A230" s="95" t="s">
        <v>253</v>
      </c>
      <c r="B230" s="3">
        <v>2.04</v>
      </c>
      <c r="C230" s="3">
        <v>0.86</v>
      </c>
      <c r="D230" s="3">
        <v>1.96</v>
      </c>
      <c r="E230" s="3">
        <v>2.0499999999999998</v>
      </c>
      <c r="F230" s="3">
        <v>1.75</v>
      </c>
      <c r="G230" s="3">
        <v>1.62</v>
      </c>
      <c r="H230" s="3">
        <v>1.45</v>
      </c>
      <c r="I230" s="3">
        <v>3.31</v>
      </c>
      <c r="J230" s="128">
        <v>2.5499999999999998</v>
      </c>
      <c r="K230" s="128">
        <v>4</v>
      </c>
      <c r="L230" s="3">
        <v>2.82</v>
      </c>
      <c r="M230" s="3" t="s">
        <v>35</v>
      </c>
      <c r="N230" s="3">
        <v>1.45</v>
      </c>
      <c r="O230" s="3">
        <v>3.17</v>
      </c>
      <c r="P230" s="3">
        <v>3.16</v>
      </c>
      <c r="Q230" s="91">
        <v>3.12</v>
      </c>
    </row>
    <row r="231" spans="1:69" x14ac:dyDescent="0.2">
      <c r="A231" s="95" t="s">
        <v>254</v>
      </c>
      <c r="B231" s="3">
        <v>2.0499999999999998</v>
      </c>
      <c r="C231" s="3">
        <v>0.89</v>
      </c>
      <c r="D231" s="3">
        <v>1.94</v>
      </c>
      <c r="E231" s="3">
        <v>2.0499999999999998</v>
      </c>
      <c r="F231" s="3">
        <v>1.75</v>
      </c>
      <c r="G231" s="3">
        <v>1.62</v>
      </c>
      <c r="H231" s="3">
        <v>1.44</v>
      </c>
      <c r="I231" s="6">
        <v>3.2759999999999998</v>
      </c>
      <c r="J231" s="128">
        <v>2.4900000000000002</v>
      </c>
      <c r="K231" s="128">
        <v>3.93</v>
      </c>
      <c r="L231" s="3">
        <v>2.84</v>
      </c>
      <c r="M231" s="3" t="s">
        <v>35</v>
      </c>
      <c r="N231" s="6">
        <v>1.4</v>
      </c>
      <c r="O231" s="3">
        <v>3.17</v>
      </c>
      <c r="P231" s="3">
        <v>3.14</v>
      </c>
      <c r="Q231" s="91">
        <v>3.17</v>
      </c>
    </row>
    <row r="232" spans="1:69" x14ac:dyDescent="0.2">
      <c r="A232" s="95" t="s">
        <v>255</v>
      </c>
      <c r="B232" s="3">
        <v>2.0499999999999998</v>
      </c>
      <c r="C232" s="3">
        <v>0.91</v>
      </c>
      <c r="D232" s="3">
        <v>1.93</v>
      </c>
      <c r="E232" s="3">
        <v>2.0499999999999998</v>
      </c>
      <c r="F232" s="3">
        <v>1.75</v>
      </c>
      <c r="G232" s="3">
        <v>1.61</v>
      </c>
      <c r="H232" s="3">
        <v>1.44</v>
      </c>
      <c r="I232" s="3">
        <v>3.23</v>
      </c>
      <c r="J232" s="128">
        <v>2.4700000000000002</v>
      </c>
      <c r="K232" s="128">
        <v>3.91</v>
      </c>
      <c r="L232" s="3">
        <v>2.78</v>
      </c>
      <c r="M232" s="3" t="s">
        <v>35</v>
      </c>
      <c r="N232" s="6">
        <v>1.4</v>
      </c>
      <c r="O232" s="3">
        <v>3.14</v>
      </c>
      <c r="P232" s="3">
        <v>3.15</v>
      </c>
      <c r="Q232" s="91">
        <v>3.19</v>
      </c>
    </row>
    <row r="233" spans="1:69" x14ac:dyDescent="0.2">
      <c r="A233" s="95" t="s">
        <v>256</v>
      </c>
      <c r="B233" s="3">
        <v>2.0299999999999998</v>
      </c>
      <c r="C233" s="3">
        <v>0.86</v>
      </c>
      <c r="D233" s="3">
        <v>1.92</v>
      </c>
      <c r="E233" s="3">
        <v>2.04</v>
      </c>
      <c r="F233" s="3">
        <v>1.73</v>
      </c>
      <c r="G233" s="3">
        <v>1.62</v>
      </c>
      <c r="H233" s="3">
        <v>1.42</v>
      </c>
      <c r="I233" s="3">
        <v>3.18</v>
      </c>
      <c r="J233" s="128">
        <v>2.35</v>
      </c>
      <c r="K233" s="128">
        <v>3.87</v>
      </c>
      <c r="L233" s="3">
        <v>2.76</v>
      </c>
      <c r="M233" s="3" t="s">
        <v>35</v>
      </c>
      <c r="N233" s="3">
        <v>1.37</v>
      </c>
      <c r="O233" s="3">
        <v>3.02</v>
      </c>
      <c r="P233" s="3">
        <v>3.03</v>
      </c>
      <c r="Q233" s="91">
        <v>3.13</v>
      </c>
    </row>
    <row r="234" spans="1:69" x14ac:dyDescent="0.2">
      <c r="A234" s="95" t="s">
        <v>257</v>
      </c>
      <c r="B234" s="3">
        <v>2.0099999999999998</v>
      </c>
      <c r="C234" s="3">
        <v>0.88</v>
      </c>
      <c r="D234" s="3" t="s">
        <v>35</v>
      </c>
      <c r="E234" s="3">
        <v>1.98</v>
      </c>
      <c r="F234" s="3">
        <v>1.65</v>
      </c>
      <c r="G234" s="3">
        <v>1.64</v>
      </c>
      <c r="H234" s="3">
        <v>1.45</v>
      </c>
      <c r="I234" s="3">
        <v>3.16</v>
      </c>
      <c r="J234" s="128">
        <v>2.33</v>
      </c>
      <c r="K234" s="128">
        <v>3.79</v>
      </c>
      <c r="L234" s="3">
        <v>2.76</v>
      </c>
      <c r="M234" s="3" t="s">
        <v>35</v>
      </c>
      <c r="N234" s="3">
        <v>1.37</v>
      </c>
      <c r="O234" s="3">
        <v>2.94</v>
      </c>
      <c r="P234" s="3">
        <v>2.96</v>
      </c>
      <c r="Q234" s="96">
        <v>3.1</v>
      </c>
    </row>
    <row r="235" spans="1:69" x14ac:dyDescent="0.2">
      <c r="A235" s="95" t="s">
        <v>258</v>
      </c>
      <c r="B235" s="3">
        <v>2.0499999999999998</v>
      </c>
      <c r="C235" s="3">
        <v>0.86</v>
      </c>
      <c r="D235" s="3" t="s">
        <v>35</v>
      </c>
      <c r="E235" s="3">
        <v>1.95</v>
      </c>
      <c r="F235" s="3">
        <v>1.65</v>
      </c>
      <c r="G235" s="3">
        <v>1.62</v>
      </c>
      <c r="H235" s="3">
        <v>1.41</v>
      </c>
      <c r="I235" s="3">
        <v>3.06</v>
      </c>
      <c r="J235" s="128">
        <v>2.29</v>
      </c>
      <c r="K235" s="128">
        <v>3.69</v>
      </c>
      <c r="L235" s="3">
        <v>2.74</v>
      </c>
      <c r="M235" s="3" t="s">
        <v>35</v>
      </c>
      <c r="N235" s="3">
        <v>1.42</v>
      </c>
      <c r="O235" s="3">
        <v>2.94</v>
      </c>
      <c r="P235" s="3">
        <v>2.95</v>
      </c>
      <c r="Q235" s="91">
        <v>3.16</v>
      </c>
    </row>
    <row r="236" spans="1:69" x14ac:dyDescent="0.2">
      <c r="A236" s="95" t="s">
        <v>259</v>
      </c>
      <c r="B236" s="3">
        <v>1.99</v>
      </c>
      <c r="C236" s="3">
        <v>0.86</v>
      </c>
      <c r="D236" s="3" t="s">
        <v>35</v>
      </c>
      <c r="E236" s="3">
        <v>1.94</v>
      </c>
      <c r="F236" s="3">
        <f>3.28*0.5</f>
        <v>1.64</v>
      </c>
      <c r="G236" s="3">
        <v>1.61</v>
      </c>
      <c r="H236" s="6">
        <v>1.4</v>
      </c>
      <c r="I236" s="3">
        <v>3.08</v>
      </c>
      <c r="J236" s="128">
        <v>2.4340000000000002</v>
      </c>
      <c r="K236" s="128">
        <v>3.7450000000000001</v>
      </c>
      <c r="L236" s="6">
        <v>2.7</v>
      </c>
      <c r="M236" s="3" t="s">
        <v>35</v>
      </c>
      <c r="N236" s="6">
        <f>2.8*0.5</f>
        <v>1.4</v>
      </c>
      <c r="O236" s="6">
        <f>(303*0.946)/100</f>
        <v>2.8663799999999999</v>
      </c>
      <c r="P236" s="6">
        <f>(305*0.9469)/100</f>
        <v>2.8880449999999995</v>
      </c>
      <c r="Q236" s="96">
        <f>3.26*0.946</f>
        <v>3.0839599999999998</v>
      </c>
    </row>
    <row r="237" spans="1:69" x14ac:dyDescent="0.2">
      <c r="A237" s="95" t="s">
        <v>260</v>
      </c>
      <c r="B237" s="6">
        <v>2.1260821309655937</v>
      </c>
      <c r="C237" s="6">
        <v>0.86015538290788018</v>
      </c>
      <c r="D237" s="3" t="s">
        <v>35</v>
      </c>
      <c r="E237" s="6">
        <f>3.5*0.55</f>
        <v>1.9250000000000003</v>
      </c>
      <c r="F237" s="6">
        <f>3.25*0.5</f>
        <v>1.625</v>
      </c>
      <c r="G237" s="3">
        <v>1.61</v>
      </c>
      <c r="H237" s="6">
        <v>1.4</v>
      </c>
      <c r="I237" s="3">
        <v>3.07</v>
      </c>
      <c r="J237" s="128">
        <v>2.379</v>
      </c>
      <c r="K237" s="128">
        <v>3.7309999999999999</v>
      </c>
      <c r="L237" s="6">
        <f>1.2078/0.45436</f>
        <v>2.6582445637820231</v>
      </c>
      <c r="M237" s="3" t="s">
        <v>35</v>
      </c>
      <c r="N237" s="6">
        <f>2.83*0.5</f>
        <v>1.415</v>
      </c>
      <c r="O237" s="6">
        <v>2.95</v>
      </c>
      <c r="P237" s="6">
        <v>2.89</v>
      </c>
      <c r="Q237" s="96">
        <v>3.1</v>
      </c>
    </row>
    <row r="238" spans="1:69" x14ac:dyDescent="0.2">
      <c r="A238" s="95" t="s">
        <v>261</v>
      </c>
      <c r="B238" s="3" t="s">
        <v>35</v>
      </c>
      <c r="C238" s="3" t="s">
        <v>35</v>
      </c>
      <c r="D238" s="3">
        <v>1.61</v>
      </c>
      <c r="E238" s="6">
        <f>3.5*0.55</f>
        <v>1.9250000000000003</v>
      </c>
      <c r="F238" s="6">
        <f>3.25*0.5</f>
        <v>1.625</v>
      </c>
      <c r="G238" s="3">
        <v>1.58</v>
      </c>
      <c r="H238" s="6">
        <v>1.38</v>
      </c>
      <c r="I238" s="3">
        <v>2.95</v>
      </c>
      <c r="J238" s="128">
        <v>2.1840000000000002</v>
      </c>
      <c r="K238" s="128">
        <v>3.52</v>
      </c>
      <c r="L238" s="6">
        <f>1.2093/0.45436</f>
        <v>2.6615459107315789</v>
      </c>
      <c r="M238" s="3" t="s">
        <v>35</v>
      </c>
      <c r="N238" s="6">
        <f>2.85*0.5</f>
        <v>1.425</v>
      </c>
      <c r="O238" s="6">
        <v>2.88</v>
      </c>
      <c r="P238" s="6">
        <v>2.83</v>
      </c>
      <c r="Q238" s="96">
        <v>3.1</v>
      </c>
    </row>
    <row r="239" spans="1:69" x14ac:dyDescent="0.2">
      <c r="A239" s="95" t="s">
        <v>262</v>
      </c>
      <c r="B239" s="6">
        <v>2.1539999999999999</v>
      </c>
      <c r="C239" s="6">
        <v>0.9</v>
      </c>
      <c r="D239" s="3" t="s">
        <v>35</v>
      </c>
      <c r="E239" s="6">
        <f>3.5*0.55</f>
        <v>1.9250000000000003</v>
      </c>
      <c r="F239" s="6">
        <f>3.25*0.5</f>
        <v>1.625</v>
      </c>
      <c r="G239" s="3">
        <v>1.56</v>
      </c>
      <c r="H239" s="3">
        <v>1.36</v>
      </c>
      <c r="I239" s="6">
        <v>3</v>
      </c>
      <c r="J239" s="128">
        <v>2.331</v>
      </c>
      <c r="K239" s="128">
        <v>3.6309999999999998</v>
      </c>
      <c r="L239" s="6">
        <f>1.2057/0.45436</f>
        <v>2.6536226780526455</v>
      </c>
      <c r="M239" s="3" t="s">
        <v>35</v>
      </c>
      <c r="N239" s="6">
        <f>2.8*0.5</f>
        <v>1.4</v>
      </c>
      <c r="O239" s="3">
        <v>2.84</v>
      </c>
      <c r="P239" s="3">
        <v>2.87</v>
      </c>
      <c r="Q239" s="96">
        <v>3.1</v>
      </c>
    </row>
    <row r="240" spans="1:69" x14ac:dyDescent="0.2">
      <c r="A240" s="95" t="s">
        <v>263</v>
      </c>
      <c r="B240" s="6">
        <v>2.000261196060293</v>
      </c>
      <c r="C240" s="6">
        <v>0.84379387277575235</v>
      </c>
      <c r="D240" s="3" t="s">
        <v>35</v>
      </c>
      <c r="E240" s="6">
        <f>3.5*0.55</f>
        <v>1.9250000000000003</v>
      </c>
      <c r="F240" s="6">
        <f>3.28*0.5</f>
        <v>1.64</v>
      </c>
      <c r="G240" s="3">
        <v>1.55</v>
      </c>
      <c r="H240" s="3">
        <v>1.36</v>
      </c>
      <c r="I240" s="6">
        <v>3.0017683465959326</v>
      </c>
      <c r="J240" s="128">
        <v>2.2988505747126435</v>
      </c>
      <c r="K240" s="128">
        <v>3.5809018567639255</v>
      </c>
      <c r="L240" s="6">
        <f>(120.1/0.45436)/100</f>
        <v>2.6432784576107053</v>
      </c>
      <c r="M240" s="3" t="s">
        <v>35</v>
      </c>
      <c r="N240" s="6">
        <v>1.4</v>
      </c>
      <c r="O240" s="3">
        <v>2.86</v>
      </c>
      <c r="P240" s="3">
        <v>2.89</v>
      </c>
      <c r="Q240" s="96">
        <v>3.1</v>
      </c>
    </row>
    <row r="241" spans="1:17" x14ac:dyDescent="0.2">
      <c r="A241" s="95" t="s">
        <v>264</v>
      </c>
      <c r="B241" s="6">
        <v>2.0179542242035446</v>
      </c>
      <c r="C241" s="6">
        <v>0.87680765467000121</v>
      </c>
      <c r="D241" s="3">
        <v>1.85</v>
      </c>
      <c r="E241" s="6">
        <f>3.53*0.55</f>
        <v>1.9415</v>
      </c>
      <c r="F241" s="6">
        <f>3.28*0.5</f>
        <v>1.64</v>
      </c>
      <c r="G241" s="6">
        <v>1.6</v>
      </c>
      <c r="H241" s="6">
        <v>1.4</v>
      </c>
      <c r="I241" s="3">
        <v>3.03</v>
      </c>
      <c r="J241" s="128">
        <v>2.3378914865460962</v>
      </c>
      <c r="K241" s="128">
        <v>3.6171151301279223</v>
      </c>
      <c r="L241" s="6">
        <v>2.6355</v>
      </c>
      <c r="M241" s="3" t="s">
        <v>35</v>
      </c>
      <c r="N241" s="6">
        <v>1.4</v>
      </c>
      <c r="O241" s="3">
        <v>2.92</v>
      </c>
      <c r="P241" s="3">
        <v>2.93</v>
      </c>
      <c r="Q241" s="96">
        <v>3.2</v>
      </c>
    </row>
    <row r="242" spans="1:17" x14ac:dyDescent="0.2">
      <c r="A242" s="95" t="s">
        <v>265</v>
      </c>
      <c r="B242" s="6">
        <v>2.0383652908677283</v>
      </c>
      <c r="C242" s="6">
        <v>0.88554869461596819</v>
      </c>
      <c r="D242" s="3" t="s">
        <v>35</v>
      </c>
      <c r="E242" s="3">
        <f>3.6*0.55</f>
        <v>1.9800000000000002</v>
      </c>
      <c r="F242" s="3">
        <f>3.34*0.5</f>
        <v>1.67</v>
      </c>
      <c r="G242" s="3">
        <v>1.62</v>
      </c>
      <c r="H242" s="3">
        <v>1.43</v>
      </c>
      <c r="I242" s="6">
        <v>3.07</v>
      </c>
      <c r="J242" s="128">
        <v>2.2778025904421617</v>
      </c>
      <c r="K242" s="128">
        <v>3.6176864671728453</v>
      </c>
      <c r="L242" s="6">
        <v>2.6381999999999999</v>
      </c>
      <c r="M242" s="3" t="s">
        <v>35</v>
      </c>
      <c r="N242" s="6">
        <f>2.85*0.5</f>
        <v>1.425</v>
      </c>
      <c r="O242" s="3">
        <v>2.94</v>
      </c>
      <c r="P242" s="3">
        <v>2.95</v>
      </c>
      <c r="Q242" s="96">
        <v>3.2</v>
      </c>
    </row>
    <row r="243" spans="1:17" x14ac:dyDescent="0.2">
      <c r="A243" s="95" t="s">
        <v>266</v>
      </c>
      <c r="B243" s="6">
        <v>2.0232334952329554</v>
      </c>
      <c r="C243" s="6">
        <v>0.92045331894225557</v>
      </c>
      <c r="D243" s="3" t="s">
        <v>35</v>
      </c>
      <c r="E243" s="6">
        <f>3.62*0.55</f>
        <v>1.9910000000000003</v>
      </c>
      <c r="F243" s="6">
        <f>3.39*0.5</f>
        <v>1.6950000000000001</v>
      </c>
      <c r="G243" s="6">
        <v>1.6</v>
      </c>
      <c r="H243" s="3">
        <v>1.42</v>
      </c>
      <c r="I243" s="6">
        <v>3.02</v>
      </c>
      <c r="J243" s="128">
        <v>2.1729490022172953</v>
      </c>
      <c r="K243" s="128">
        <v>3.5033259423503331</v>
      </c>
      <c r="L243" s="6">
        <v>2.65</v>
      </c>
      <c r="M243" s="3" t="s">
        <v>35</v>
      </c>
      <c r="N243" s="6">
        <v>1.35</v>
      </c>
      <c r="O243" s="6">
        <f>3.14*0.916</f>
        <v>2.8762400000000001</v>
      </c>
      <c r="P243" s="6">
        <f>3.29*0.916</f>
        <v>3.0136400000000001</v>
      </c>
      <c r="Q243" s="91">
        <v>3.25</v>
      </c>
    </row>
    <row r="244" spans="1:17" x14ac:dyDescent="0.2">
      <c r="A244" s="95" t="s">
        <v>267</v>
      </c>
      <c r="B244" s="6">
        <v>2.03475935828877</v>
      </c>
      <c r="C244" s="6">
        <v>0.90970588235294114</v>
      </c>
      <c r="D244" s="3" t="s">
        <v>35</v>
      </c>
      <c r="E244" s="6">
        <f>3.66*0.55</f>
        <v>2.0130000000000003</v>
      </c>
      <c r="F244" s="6">
        <f>3.44*0.5</f>
        <v>1.72</v>
      </c>
      <c r="G244" s="6">
        <v>1.53</v>
      </c>
      <c r="H244" s="3">
        <v>1.37</v>
      </c>
      <c r="I244" s="6">
        <v>2.97</v>
      </c>
      <c r="J244" s="128">
        <v>2.106186924089513</v>
      </c>
      <c r="K244" s="128">
        <v>3.4664326458973238</v>
      </c>
      <c r="L244" s="6">
        <v>2.65</v>
      </c>
      <c r="M244" s="3" t="s">
        <v>35</v>
      </c>
      <c r="N244" s="6">
        <v>1.36</v>
      </c>
      <c r="O244" s="6">
        <f>3.23*0.897</f>
        <v>2.8973100000000001</v>
      </c>
      <c r="P244" s="6">
        <f>3.28*0.897</f>
        <v>2.9421599999999999</v>
      </c>
      <c r="Q244" s="91">
        <v>3.24</v>
      </c>
    </row>
    <row r="245" spans="1:17" x14ac:dyDescent="0.2">
      <c r="A245" s="95" t="s">
        <v>268</v>
      </c>
      <c r="B245" s="6">
        <v>1.9732038005764923</v>
      </c>
      <c r="C245" s="6">
        <v>0.92943311625920788</v>
      </c>
      <c r="D245" s="3" t="s">
        <v>35</v>
      </c>
      <c r="E245" s="6">
        <f>3.62*0.55</f>
        <v>1.9910000000000003</v>
      </c>
      <c r="F245" s="6">
        <f>3.39*0.5</f>
        <v>1.6950000000000001</v>
      </c>
      <c r="G245" s="6">
        <v>1.5</v>
      </c>
      <c r="H245" s="6">
        <v>1.32</v>
      </c>
      <c r="I245" s="6">
        <v>2.96</v>
      </c>
      <c r="J245" s="128">
        <v>2.1566901408450709</v>
      </c>
      <c r="K245" s="128">
        <v>3.5211267605633805</v>
      </c>
      <c r="L245" s="6">
        <f>1.2245/0.45436</f>
        <v>2.6949995598204066</v>
      </c>
      <c r="M245" s="3" t="s">
        <v>35</v>
      </c>
      <c r="N245" s="6">
        <v>1.35</v>
      </c>
      <c r="O245" s="6">
        <f>3.21*0.907</f>
        <v>2.91147</v>
      </c>
      <c r="P245" s="6">
        <v>2.93</v>
      </c>
      <c r="Q245" s="91">
        <v>3.16</v>
      </c>
    </row>
    <row r="246" spans="1:17" x14ac:dyDescent="0.2">
      <c r="A246" s="95" t="s">
        <v>269</v>
      </c>
      <c r="B246" s="6">
        <v>2.0308426073131955</v>
      </c>
      <c r="C246" s="6">
        <v>0.94774774774774795</v>
      </c>
      <c r="D246" s="3" t="s">
        <v>35</v>
      </c>
      <c r="E246" s="6">
        <f>3.5*0.55</f>
        <v>1.9250000000000003</v>
      </c>
      <c r="F246" s="6">
        <f>3.3*0.5</f>
        <v>1.65</v>
      </c>
      <c r="G246" s="3">
        <v>1.46</v>
      </c>
      <c r="H246" s="3">
        <v>1.25</v>
      </c>
      <c r="I246" s="3">
        <v>2.81</v>
      </c>
      <c r="J246" s="128">
        <v>2.0070000000000001</v>
      </c>
      <c r="K246" s="128">
        <v>3.3029999999999999</v>
      </c>
      <c r="L246" s="3">
        <v>2.73</v>
      </c>
      <c r="M246" s="3" t="s">
        <v>35</v>
      </c>
      <c r="N246" s="6">
        <v>1.4</v>
      </c>
      <c r="O246" s="6">
        <v>2.9</v>
      </c>
      <c r="P246" s="3">
        <v>2.92</v>
      </c>
      <c r="Q246" s="91">
        <v>3.18</v>
      </c>
    </row>
    <row r="247" spans="1:17" x14ac:dyDescent="0.2">
      <c r="A247" s="95" t="s">
        <v>270</v>
      </c>
      <c r="B247" s="6">
        <v>2.0537724928969796</v>
      </c>
      <c r="C247" s="6">
        <v>0.94201831000736613</v>
      </c>
      <c r="D247" s="3" t="s">
        <v>35</v>
      </c>
      <c r="E247" s="6">
        <f>3.4*0.55</f>
        <v>1.87</v>
      </c>
      <c r="F247" s="6">
        <f>3.2*0.5</f>
        <v>1.6</v>
      </c>
      <c r="G247" s="3">
        <v>1.43</v>
      </c>
      <c r="H247" s="3">
        <v>1.24</v>
      </c>
      <c r="I247" s="3">
        <v>2.88</v>
      </c>
      <c r="J247" s="128">
        <v>2.037351443123939</v>
      </c>
      <c r="K247" s="128">
        <v>3.3106960950764006</v>
      </c>
      <c r="L247" s="3">
        <v>2.74</v>
      </c>
      <c r="M247" s="3" t="s">
        <v>35</v>
      </c>
      <c r="N247" s="6">
        <f>2.85*0.5</f>
        <v>1.425</v>
      </c>
      <c r="O247" s="6">
        <v>2.88</v>
      </c>
      <c r="P247" s="3">
        <v>2.92</v>
      </c>
      <c r="Q247" s="91">
        <v>3.12</v>
      </c>
    </row>
    <row r="248" spans="1:17" x14ac:dyDescent="0.2">
      <c r="A248" s="95" t="s">
        <v>271</v>
      </c>
      <c r="B248" s="6">
        <v>1.9762926522922335</v>
      </c>
      <c r="C248" s="6">
        <v>0.95363198660247017</v>
      </c>
      <c r="D248" s="3" t="s">
        <v>35</v>
      </c>
      <c r="E248" s="6">
        <f>3.4*0.55</f>
        <v>1.87</v>
      </c>
      <c r="F248" s="6">
        <f>3.2*0.5</f>
        <v>1.6</v>
      </c>
      <c r="G248" s="6">
        <v>1.42</v>
      </c>
      <c r="H248" s="6">
        <v>1.23</v>
      </c>
      <c r="I248" s="6">
        <v>2.89</v>
      </c>
      <c r="J248" s="128">
        <v>2.1401594628619387</v>
      </c>
      <c r="K248" s="128">
        <v>3.3990767939571969</v>
      </c>
      <c r="L248" s="3">
        <v>2.74</v>
      </c>
      <c r="M248" s="3" t="s">
        <v>35</v>
      </c>
      <c r="N248" s="6">
        <f>2.9*0.5</f>
        <v>1.45</v>
      </c>
      <c r="O248" s="6">
        <v>2.9</v>
      </c>
      <c r="P248" s="3">
        <v>2.96</v>
      </c>
      <c r="Q248" s="91">
        <v>3.15</v>
      </c>
    </row>
    <row r="249" spans="1:17" x14ac:dyDescent="0.2">
      <c r="A249" s="95" t="s">
        <v>272</v>
      </c>
      <c r="B249" s="6">
        <v>1.9485811930405972</v>
      </c>
      <c r="C249" s="6">
        <v>0.91259320629660334</v>
      </c>
      <c r="D249" s="3" t="s">
        <v>35</v>
      </c>
      <c r="E249" s="6">
        <f>3.38*0.55</f>
        <v>1.859</v>
      </c>
      <c r="F249" s="6">
        <f>3.15*0.5</f>
        <v>1.575</v>
      </c>
      <c r="G249" s="6">
        <v>1.46</v>
      </c>
      <c r="H249" s="6">
        <v>1.29</v>
      </c>
      <c r="I249" s="6">
        <v>3.05</v>
      </c>
      <c r="J249" s="128">
        <v>2.2540095361941916</v>
      </c>
      <c r="K249" s="128">
        <v>3.5977459904638063</v>
      </c>
      <c r="L249" s="6">
        <v>2.7050000000000001</v>
      </c>
      <c r="M249" s="3" t="s">
        <v>35</v>
      </c>
      <c r="N249" s="6">
        <f>2.9*0.5</f>
        <v>1.45</v>
      </c>
      <c r="O249" s="3">
        <v>2.98</v>
      </c>
      <c r="P249" s="3">
        <v>3.05</v>
      </c>
      <c r="Q249" s="91">
        <v>3.25</v>
      </c>
    </row>
    <row r="250" spans="1:17" ht="12" customHeight="1" x14ac:dyDescent="0.2">
      <c r="A250" s="95" t="s">
        <v>273</v>
      </c>
      <c r="B250" s="6">
        <v>1.9051083591331273</v>
      </c>
      <c r="C250" s="6">
        <v>0.9270381836945305</v>
      </c>
      <c r="D250" s="3" t="s">
        <v>35</v>
      </c>
      <c r="E250" s="6">
        <f>3.35*0.55</f>
        <v>1.8425000000000002</v>
      </c>
      <c r="F250" s="6">
        <f>3.15*0.5</f>
        <v>1.575</v>
      </c>
      <c r="G250" s="6">
        <v>1.46</v>
      </c>
      <c r="H250" s="6">
        <v>1.3</v>
      </c>
      <c r="I250" s="6">
        <v>3.12</v>
      </c>
      <c r="J250" s="128">
        <v>2.41</v>
      </c>
      <c r="K250" s="128">
        <v>3.73</v>
      </c>
      <c r="L250" s="6">
        <v>2.7090000000000001</v>
      </c>
      <c r="M250" s="3" t="s">
        <v>35</v>
      </c>
      <c r="N250" s="6">
        <f>2.9*0.5</f>
        <v>1.45</v>
      </c>
      <c r="O250" s="3">
        <v>2.99</v>
      </c>
      <c r="P250" s="3">
        <v>3.06</v>
      </c>
      <c r="Q250" s="91">
        <v>3.36</v>
      </c>
    </row>
    <row r="251" spans="1:17" x14ac:dyDescent="0.2">
      <c r="A251" s="95" t="s">
        <v>274</v>
      </c>
      <c r="B251" s="6">
        <v>1.9340292060880295</v>
      </c>
      <c r="C251" s="6">
        <v>0.93346359522830114</v>
      </c>
      <c r="D251" s="3" t="s">
        <v>35</v>
      </c>
      <c r="E251" s="6">
        <f>3.38*0.55</f>
        <v>1.859</v>
      </c>
      <c r="F251" s="6">
        <f>3.17*0.5</f>
        <v>1.585</v>
      </c>
      <c r="G251" s="6">
        <v>1.5</v>
      </c>
      <c r="H251" s="6">
        <v>1.34</v>
      </c>
      <c r="I251" s="6">
        <v>3.25</v>
      </c>
      <c r="J251" s="128">
        <v>2.4790000000000001</v>
      </c>
      <c r="K251" s="128">
        <v>3.8759999999999999</v>
      </c>
      <c r="L251" s="3">
        <v>2.73</v>
      </c>
      <c r="M251" s="6">
        <f>3.18*0.55</f>
        <v>1.7490000000000003</v>
      </c>
      <c r="N251" s="6">
        <f>2.95*0.5</f>
        <v>1.4750000000000001</v>
      </c>
      <c r="O251" s="3">
        <v>2.97</v>
      </c>
      <c r="P251" s="3">
        <v>3.06</v>
      </c>
      <c r="Q251" s="91">
        <v>3.39</v>
      </c>
    </row>
    <row r="252" spans="1:17" x14ac:dyDescent="0.2">
      <c r="A252" s="95" t="s">
        <v>279</v>
      </c>
      <c r="B252" s="6">
        <v>1.9174523467923752</v>
      </c>
      <c r="C252" s="6">
        <v>0.97530231604837048</v>
      </c>
      <c r="D252" s="3" t="s">
        <v>35</v>
      </c>
      <c r="E252" s="6">
        <f>3.38*0.55</f>
        <v>1.859</v>
      </c>
      <c r="F252" s="6">
        <f>3.18*0.5</f>
        <v>1.59</v>
      </c>
      <c r="G252" s="6">
        <v>1.41</v>
      </c>
      <c r="H252" s="6">
        <v>1.28</v>
      </c>
      <c r="I252" s="6">
        <v>3.23</v>
      </c>
      <c r="J252" s="128">
        <v>2.5675077467906156</v>
      </c>
      <c r="K252" s="128">
        <v>3.9397963700752547</v>
      </c>
      <c r="L252" s="3">
        <v>2.77</v>
      </c>
      <c r="M252" s="6">
        <f>3.25*0.55</f>
        <v>1.7875000000000001</v>
      </c>
      <c r="N252" s="6">
        <f>3.05*0.5</f>
        <v>1.5249999999999999</v>
      </c>
      <c r="O252" s="3">
        <v>2.97</v>
      </c>
      <c r="P252" s="3">
        <v>3.07</v>
      </c>
      <c r="Q252" s="91">
        <v>3.35</v>
      </c>
    </row>
    <row r="253" spans="1:17" x14ac:dyDescent="0.2">
      <c r="A253" s="95" t="s">
        <v>280</v>
      </c>
      <c r="B253" s="6">
        <v>1.9827796403535509</v>
      </c>
      <c r="C253" s="6">
        <v>0.95529818144874512</v>
      </c>
      <c r="D253" s="3" t="s">
        <v>35</v>
      </c>
      <c r="E253" s="6">
        <f>3.38*0.55</f>
        <v>1.859</v>
      </c>
      <c r="F253" s="6">
        <f>3.18*0.5</f>
        <v>1.59</v>
      </c>
      <c r="G253" s="3">
        <v>1.45</v>
      </c>
      <c r="H253" s="3">
        <v>1.36</v>
      </c>
      <c r="I253" s="6">
        <v>3.33</v>
      </c>
      <c r="J253" s="128">
        <v>2.6232473993668024</v>
      </c>
      <c r="K253" s="128">
        <v>4.0253279059249216</v>
      </c>
      <c r="L253" s="3" t="s">
        <v>132</v>
      </c>
      <c r="M253" s="6">
        <f>3.3*0.55</f>
        <v>1.8149999999999999</v>
      </c>
      <c r="N253" s="6">
        <f>3.1*0.5</f>
        <v>1.55</v>
      </c>
      <c r="O253" s="3">
        <v>2.99</v>
      </c>
      <c r="P253" s="3">
        <v>3.11</v>
      </c>
      <c r="Q253" s="91">
        <v>3.37</v>
      </c>
    </row>
    <row r="254" spans="1:17" x14ac:dyDescent="0.2">
      <c r="A254" s="95" t="s">
        <v>281</v>
      </c>
      <c r="B254" s="6">
        <v>1.917879522943198</v>
      </c>
      <c r="C254" s="6">
        <v>1.0004042854255104</v>
      </c>
      <c r="D254" s="6" t="s">
        <v>35</v>
      </c>
      <c r="E254" s="6">
        <f>3.38*0.55</f>
        <v>1.859</v>
      </c>
      <c r="F254" s="6">
        <f>3.23*0.5</f>
        <v>1.615</v>
      </c>
      <c r="G254" s="3">
        <v>1.47</v>
      </c>
      <c r="H254" s="3">
        <v>1.38</v>
      </c>
      <c r="I254" s="6">
        <v>3.34</v>
      </c>
      <c r="J254" s="128">
        <v>2.5252525252525255</v>
      </c>
      <c r="K254" s="128">
        <v>4.0404040404040407</v>
      </c>
      <c r="L254" s="3" t="s">
        <v>132</v>
      </c>
      <c r="M254" s="6">
        <f>3.35*0.55</f>
        <v>1.8425000000000002</v>
      </c>
      <c r="N254" s="6">
        <f>3.15*0.5</f>
        <v>1.575</v>
      </c>
      <c r="O254" s="3">
        <v>3.01</v>
      </c>
      <c r="P254" s="3">
        <v>3.12</v>
      </c>
      <c r="Q254" s="91">
        <v>3.36</v>
      </c>
    </row>
    <row r="255" spans="1:17" x14ac:dyDescent="0.2">
      <c r="A255" s="95" t="s">
        <v>282</v>
      </c>
      <c r="B255" s="6">
        <v>1.981548516842635</v>
      </c>
      <c r="C255" s="6">
        <v>1.0045248868778283</v>
      </c>
      <c r="D255" s="6">
        <v>1.69</v>
      </c>
      <c r="E255" s="6">
        <f>3.32*0.55</f>
        <v>1.8260000000000001</v>
      </c>
      <c r="F255" s="6">
        <f>3.18*0.5</f>
        <v>1.59</v>
      </c>
      <c r="G255" s="3">
        <v>1.54</v>
      </c>
      <c r="H255" s="3">
        <v>1.31</v>
      </c>
      <c r="I255" s="6">
        <v>3.31</v>
      </c>
      <c r="J255" s="128">
        <v>2.4839006439742413</v>
      </c>
      <c r="K255" s="128">
        <v>4.0018399264029441</v>
      </c>
      <c r="L255" s="3" t="s">
        <v>132</v>
      </c>
      <c r="M255" s="6">
        <f>3.4*0.55</f>
        <v>1.87</v>
      </c>
      <c r="N255" s="6">
        <f>3.2*0.5</f>
        <v>1.6</v>
      </c>
      <c r="O255" s="3">
        <v>3.09</v>
      </c>
      <c r="P255" s="3">
        <v>3.19</v>
      </c>
      <c r="Q255" s="91">
        <v>3.45</v>
      </c>
    </row>
    <row r="256" spans="1:17" x14ac:dyDescent="0.2">
      <c r="A256" s="95" t="s">
        <v>283</v>
      </c>
      <c r="B256" s="6">
        <v>1.9809423769507803</v>
      </c>
      <c r="C256" s="6">
        <v>1.0696278511404562</v>
      </c>
      <c r="D256" s="6">
        <v>1.68</v>
      </c>
      <c r="E256" s="6">
        <f>3.25*0.55</f>
        <v>1.7875000000000001</v>
      </c>
      <c r="F256" s="6">
        <f>3.15*0.5</f>
        <v>1.575</v>
      </c>
      <c r="G256" s="3">
        <v>1.55</v>
      </c>
      <c r="H256" s="3">
        <v>1.37</v>
      </c>
      <c r="I256" s="6">
        <v>3.25</v>
      </c>
      <c r="J256" s="128">
        <v>2.359</v>
      </c>
      <c r="K256" s="128">
        <v>3.9020000000000001</v>
      </c>
      <c r="L256" s="6">
        <f>132.23/45.436</f>
        <v>2.9102473809314198</v>
      </c>
      <c r="M256" s="6">
        <f>3.48*0.55</f>
        <v>1.9140000000000001</v>
      </c>
      <c r="N256" s="6">
        <f>3.3*0.5</f>
        <v>1.65</v>
      </c>
      <c r="O256" s="3">
        <v>2.99</v>
      </c>
      <c r="P256" s="3">
        <v>3.13</v>
      </c>
      <c r="Q256" s="91">
        <v>3.32</v>
      </c>
    </row>
    <row r="257" spans="1:20" x14ac:dyDescent="0.2">
      <c r="A257" s="95" t="s">
        <v>284</v>
      </c>
      <c r="B257" s="6">
        <v>2.045390991710776</v>
      </c>
      <c r="C257" s="6">
        <v>1.0609208029561572</v>
      </c>
      <c r="D257" s="6">
        <v>1.66</v>
      </c>
      <c r="E257" s="6">
        <f>3.2*0.55</f>
        <v>1.7600000000000002</v>
      </c>
      <c r="F257" s="6">
        <v>1.54</v>
      </c>
      <c r="G257" s="6">
        <v>1.49</v>
      </c>
      <c r="H257" s="6">
        <v>1.31</v>
      </c>
      <c r="I257" s="6">
        <v>3.29</v>
      </c>
      <c r="J257" s="128">
        <v>2.3370000000000002</v>
      </c>
      <c r="K257" s="128">
        <v>3.9870000000000001</v>
      </c>
      <c r="L257" s="6">
        <f>131.99/45.436</f>
        <v>2.9049652258121315</v>
      </c>
      <c r="M257" s="6">
        <f>3.6*0.55</f>
        <v>1.9800000000000002</v>
      </c>
      <c r="N257" s="6">
        <f>3.4*0.5</f>
        <v>1.7</v>
      </c>
      <c r="O257" s="6">
        <v>2.97</v>
      </c>
      <c r="P257" s="6">
        <v>3.12</v>
      </c>
      <c r="Q257" s="96">
        <v>3.32</v>
      </c>
    </row>
    <row r="258" spans="1:20" x14ac:dyDescent="0.2">
      <c r="A258" s="95" t="s">
        <v>285</v>
      </c>
      <c r="B258" s="6">
        <v>2.1382799325463746</v>
      </c>
      <c r="C258" s="6">
        <v>1.088979267929769</v>
      </c>
      <c r="D258" s="6">
        <v>1.66</v>
      </c>
      <c r="E258" s="6">
        <f>3.2*0.55</f>
        <v>1.7600000000000002</v>
      </c>
      <c r="F258" s="6">
        <v>1.52</v>
      </c>
      <c r="G258" s="3">
        <v>1.47</v>
      </c>
      <c r="H258" s="3">
        <v>1.28</v>
      </c>
      <c r="I258" s="6">
        <v>3.12</v>
      </c>
      <c r="J258" s="128">
        <v>2.2462203023758103</v>
      </c>
      <c r="K258" s="128">
        <v>3.8012958963282943</v>
      </c>
      <c r="L258" s="6">
        <f>130.93/45.436</f>
        <v>2.8816357073686065</v>
      </c>
      <c r="M258" s="6">
        <f>3.35*0.55</f>
        <v>1.8425000000000002</v>
      </c>
      <c r="N258" s="6">
        <f>3.25*0.5</f>
        <v>1.625</v>
      </c>
      <c r="O258" s="3">
        <v>2.91</v>
      </c>
      <c r="P258" s="3">
        <v>3.05</v>
      </c>
      <c r="Q258" s="96">
        <v>3.3</v>
      </c>
    </row>
    <row r="259" spans="1:20" x14ac:dyDescent="0.2">
      <c r="A259" s="95" t="s">
        <v>286</v>
      </c>
      <c r="B259" s="6">
        <v>2.365002471576866</v>
      </c>
      <c r="C259" s="6">
        <v>1.1715274345032129</v>
      </c>
      <c r="D259" s="6">
        <v>1.69</v>
      </c>
      <c r="E259" s="6">
        <f>3.2*0.55</f>
        <v>1.7600000000000002</v>
      </c>
      <c r="F259" s="6">
        <v>1.55</v>
      </c>
      <c r="G259" s="6">
        <v>1.51</v>
      </c>
      <c r="H259" s="6">
        <v>1.33</v>
      </c>
      <c r="I259" s="6">
        <v>3.19</v>
      </c>
      <c r="J259" s="128">
        <v>2.3368606701940036</v>
      </c>
      <c r="K259" s="128">
        <v>3.9241622574955914</v>
      </c>
      <c r="L259" s="6">
        <v>2.9</v>
      </c>
      <c r="M259" s="6">
        <f>3.3*0.55</f>
        <v>1.8149999999999999</v>
      </c>
      <c r="N259" s="6">
        <f>3.15*0.5</f>
        <v>1.575</v>
      </c>
      <c r="O259" s="6">
        <v>2.95</v>
      </c>
      <c r="P259" s="6">
        <v>3.09</v>
      </c>
      <c r="Q259" s="96">
        <v>3.36</v>
      </c>
    </row>
    <row r="260" spans="1:20" x14ac:dyDescent="0.2">
      <c r="A260" s="95" t="s">
        <v>288</v>
      </c>
      <c r="B260" s="6">
        <v>2.2196371085747733</v>
      </c>
      <c r="C260" s="6">
        <v>1.1707150521900302</v>
      </c>
      <c r="D260" s="6">
        <v>1.71</v>
      </c>
      <c r="E260" s="6">
        <f>3.27*0.55</f>
        <v>1.7985000000000002</v>
      </c>
      <c r="F260" s="6">
        <v>1.57</v>
      </c>
      <c r="G260" s="6">
        <v>1.49</v>
      </c>
      <c r="H260" s="6">
        <v>1.32</v>
      </c>
      <c r="I260" s="6">
        <v>3.18</v>
      </c>
      <c r="J260" s="128">
        <v>2.3194748358862141</v>
      </c>
      <c r="K260" s="128">
        <v>3.8949671772428882</v>
      </c>
      <c r="L260" s="6">
        <v>2.87</v>
      </c>
      <c r="M260" s="6">
        <f>3.2*0.55</f>
        <v>1.7600000000000002</v>
      </c>
      <c r="N260" s="6">
        <f>3*0.5</f>
        <v>1.5</v>
      </c>
      <c r="O260" s="6">
        <v>2.84</v>
      </c>
      <c r="P260" s="6">
        <v>2.93</v>
      </c>
      <c r="Q260" s="96">
        <v>3.23</v>
      </c>
    </row>
    <row r="261" spans="1:20" x14ac:dyDescent="0.2">
      <c r="A261" s="95" t="s">
        <v>287</v>
      </c>
      <c r="B261" s="6">
        <v>2.2514247078141603</v>
      </c>
      <c r="C261" s="6">
        <v>1.2045783830773689</v>
      </c>
      <c r="D261" s="6">
        <v>1.7</v>
      </c>
      <c r="E261" s="6">
        <v>1.8095000000000001</v>
      </c>
      <c r="F261" s="6">
        <v>1.57</v>
      </c>
      <c r="G261" s="6">
        <v>1.49</v>
      </c>
      <c r="H261" s="6">
        <v>1.36</v>
      </c>
      <c r="I261" s="6">
        <v>3.1275684931506853</v>
      </c>
      <c r="J261" s="128">
        <v>2.2260273972602742</v>
      </c>
      <c r="K261" s="128">
        <v>3.8527397260273974</v>
      </c>
      <c r="L261" s="6">
        <v>2.92</v>
      </c>
      <c r="M261" s="6">
        <v>1.7875000000000001</v>
      </c>
      <c r="N261" s="6">
        <v>1.55</v>
      </c>
      <c r="O261" s="6">
        <v>2.86</v>
      </c>
      <c r="P261" s="6">
        <v>2.95</v>
      </c>
      <c r="Q261" s="96">
        <v>3.28</v>
      </c>
    </row>
    <row r="262" spans="1:20" x14ac:dyDescent="0.2">
      <c r="A262" s="95" t="s">
        <v>289</v>
      </c>
      <c r="B262" s="6">
        <v>2.2054547182362447</v>
      </c>
      <c r="C262" s="6">
        <v>1.112325382495486</v>
      </c>
      <c r="D262" s="6">
        <v>1.7</v>
      </c>
      <c r="E262" s="6">
        <f>3.27*0.55</f>
        <v>1.7985000000000002</v>
      </c>
      <c r="F262" s="6">
        <v>1.56</v>
      </c>
      <c r="G262" s="6">
        <v>1.54</v>
      </c>
      <c r="H262" s="6">
        <v>1.4</v>
      </c>
      <c r="I262" s="6">
        <v>3.19</v>
      </c>
      <c r="J262" s="128">
        <v>2.2727272727272729</v>
      </c>
      <c r="K262" s="128">
        <v>3.9879931389365355</v>
      </c>
      <c r="L262" s="6">
        <v>2.9</v>
      </c>
      <c r="M262" s="6">
        <v>1.7875000000000001</v>
      </c>
      <c r="N262" s="6">
        <v>1.55</v>
      </c>
      <c r="O262" s="6">
        <v>2.88</v>
      </c>
      <c r="P262" s="6">
        <v>2.97</v>
      </c>
      <c r="Q262" s="96">
        <v>3.3</v>
      </c>
    </row>
    <row r="263" spans="1:20" x14ac:dyDescent="0.2">
      <c r="A263" s="95" t="s">
        <v>290</v>
      </c>
      <c r="B263" s="6" t="s">
        <v>300</v>
      </c>
      <c r="C263" s="6">
        <v>1.0844235294117646</v>
      </c>
      <c r="D263" s="6">
        <v>1.68</v>
      </c>
      <c r="E263" s="6">
        <f>3.2*0.55</f>
        <v>1.7600000000000002</v>
      </c>
      <c r="F263" s="6">
        <v>1.52</v>
      </c>
      <c r="G263" s="6">
        <v>1.64</v>
      </c>
      <c r="H263" s="6">
        <v>1.43</v>
      </c>
      <c r="I263" s="6">
        <v>3.22</v>
      </c>
      <c r="J263" s="128">
        <v>2.2698072805139184</v>
      </c>
      <c r="K263" s="128">
        <v>4.1970021413276237</v>
      </c>
      <c r="L263" s="6">
        <f>1.3061/0.45436</f>
        <v>2.8745928338762217</v>
      </c>
      <c r="M263" s="6">
        <v>1.7875000000000001</v>
      </c>
      <c r="N263" s="6">
        <v>1.55</v>
      </c>
      <c r="O263" s="6">
        <v>2.87</v>
      </c>
      <c r="P263" s="6">
        <v>2.89</v>
      </c>
      <c r="Q263" s="96">
        <v>3.24</v>
      </c>
    </row>
    <row r="264" spans="1:20" x14ac:dyDescent="0.2">
      <c r="A264" s="95" t="s">
        <v>292</v>
      </c>
      <c r="B264" s="6">
        <v>2.129</v>
      </c>
      <c r="C264" s="6">
        <v>0.94199999999999995</v>
      </c>
      <c r="D264" s="3">
        <v>1.67</v>
      </c>
      <c r="E264" s="6">
        <f>3.17*0.55</f>
        <v>1.7435</v>
      </c>
      <c r="F264" s="3">
        <v>1.52</v>
      </c>
      <c r="G264" s="3">
        <v>1.61</v>
      </c>
      <c r="H264" s="3">
        <v>1.41</v>
      </c>
      <c r="I264" s="6">
        <v>3.2</v>
      </c>
      <c r="J264" s="128">
        <v>2.304737516005122</v>
      </c>
      <c r="K264" s="128">
        <v>4.2253521126760569</v>
      </c>
      <c r="L264" s="6">
        <f>1.3048/0.45436</f>
        <v>2.8717316665199402</v>
      </c>
      <c r="M264" s="3">
        <v>1.82</v>
      </c>
      <c r="N264" s="3">
        <v>1.55</v>
      </c>
      <c r="O264" s="3" t="s">
        <v>132</v>
      </c>
      <c r="P264" s="3" t="s">
        <v>132</v>
      </c>
      <c r="Q264" s="91" t="s">
        <v>132</v>
      </c>
    </row>
    <row r="265" spans="1:20" x14ac:dyDescent="0.2">
      <c r="A265" s="95" t="s">
        <v>293</v>
      </c>
      <c r="B265" s="6">
        <v>2.0808709175738729</v>
      </c>
      <c r="C265" s="6">
        <v>0.88281035586863055</v>
      </c>
      <c r="D265" s="3" t="s">
        <v>132</v>
      </c>
      <c r="E265" s="6">
        <f>3.15*0.55</f>
        <v>1.7325000000000002</v>
      </c>
      <c r="F265" s="3">
        <v>1.53</v>
      </c>
      <c r="G265" s="3" t="s">
        <v>132</v>
      </c>
      <c r="H265" s="3" t="s">
        <v>132</v>
      </c>
      <c r="I265" s="6">
        <v>3.27</v>
      </c>
      <c r="J265" s="128" t="s">
        <v>132</v>
      </c>
      <c r="K265" s="128" t="s">
        <v>132</v>
      </c>
      <c r="L265" s="6">
        <v>2.95</v>
      </c>
      <c r="M265" s="6">
        <v>1.8</v>
      </c>
      <c r="N265" s="6">
        <v>1.52</v>
      </c>
      <c r="O265" s="3" t="s">
        <v>132</v>
      </c>
      <c r="P265" s="3" t="s">
        <v>132</v>
      </c>
      <c r="Q265" s="91" t="s">
        <v>132</v>
      </c>
    </row>
    <row r="266" spans="1:20" x14ac:dyDescent="0.2">
      <c r="A266" s="95" t="s">
        <v>291</v>
      </c>
      <c r="B266" s="6">
        <v>2.2573755656108601</v>
      </c>
      <c r="C266" s="6">
        <v>0.92687782805429886</v>
      </c>
      <c r="D266" s="3">
        <v>1.65</v>
      </c>
      <c r="E266" s="3">
        <v>1.73</v>
      </c>
      <c r="F266" s="3">
        <v>1.47</v>
      </c>
      <c r="G266" s="3">
        <v>1.64</v>
      </c>
      <c r="H266" s="3">
        <v>1.47</v>
      </c>
      <c r="I266" s="6">
        <v>3.23</v>
      </c>
      <c r="J266" s="128">
        <v>2.0622895622895627</v>
      </c>
      <c r="K266" s="128">
        <v>4.4191919191919196</v>
      </c>
      <c r="L266" s="6">
        <v>3.03</v>
      </c>
      <c r="M266" s="6">
        <v>1.82</v>
      </c>
      <c r="N266" s="6">
        <f>3.1*0.5</f>
        <v>1.55</v>
      </c>
      <c r="O266" s="3" t="s">
        <v>132</v>
      </c>
      <c r="P266" s="3" t="s">
        <v>132</v>
      </c>
      <c r="Q266" s="91" t="s">
        <v>132</v>
      </c>
    </row>
    <row r="267" spans="1:20" x14ac:dyDescent="0.2">
      <c r="A267" s="95" t="s">
        <v>294</v>
      </c>
      <c r="B267" s="6">
        <v>2.1237168615549411</v>
      </c>
      <c r="C267" s="6">
        <v>1.0033026867803265</v>
      </c>
      <c r="D267" s="3">
        <v>1.67</v>
      </c>
      <c r="E267" s="3">
        <f>3.2*0.55</f>
        <v>1.7600000000000002</v>
      </c>
      <c r="F267" s="3">
        <v>1.48</v>
      </c>
      <c r="G267" s="3">
        <v>1.65</v>
      </c>
      <c r="H267" s="3">
        <v>1.58</v>
      </c>
      <c r="I267" s="6">
        <v>3.21</v>
      </c>
      <c r="J267" s="128">
        <v>2.1564482029598304</v>
      </c>
      <c r="K267" s="128">
        <v>4.397463002114165</v>
      </c>
      <c r="L267" s="6">
        <v>3.0739999999999998</v>
      </c>
      <c r="M267" s="6">
        <v>1.82</v>
      </c>
      <c r="N267" s="6">
        <v>1.55</v>
      </c>
      <c r="O267" s="3" t="s">
        <v>132</v>
      </c>
      <c r="P267" s="3" t="s">
        <v>132</v>
      </c>
      <c r="Q267" s="91" t="s">
        <v>132</v>
      </c>
    </row>
    <row r="268" spans="1:20" x14ac:dyDescent="0.2">
      <c r="A268" s="95" t="s">
        <v>295</v>
      </c>
      <c r="B268" s="6">
        <v>2.0245607901407219</v>
      </c>
      <c r="C268" s="6">
        <v>0.8334061707892666</v>
      </c>
      <c r="D268" s="3">
        <v>1.68</v>
      </c>
      <c r="E268" s="3">
        <v>1.79</v>
      </c>
      <c r="F268" s="3">
        <v>1.49</v>
      </c>
      <c r="G268" s="3">
        <v>1.67</v>
      </c>
      <c r="H268" s="6">
        <v>1.6</v>
      </c>
      <c r="I268" s="6">
        <v>3.22</v>
      </c>
      <c r="J268" s="128">
        <v>2.2137079608343977</v>
      </c>
      <c r="K268" s="128">
        <v>4.1294167730949329</v>
      </c>
      <c r="L268" s="6">
        <v>3.14</v>
      </c>
      <c r="M268" s="6">
        <f>3.35*0.55</f>
        <v>1.8425000000000002</v>
      </c>
      <c r="N268" s="6">
        <f>3.2*0.5</f>
        <v>1.6</v>
      </c>
      <c r="O268" s="3">
        <v>2.84</v>
      </c>
      <c r="P268" s="3">
        <v>2.87</v>
      </c>
      <c r="Q268" s="91">
        <v>3.44</v>
      </c>
    </row>
    <row r="269" spans="1:20" x14ac:dyDescent="0.2">
      <c r="A269" s="95" t="s">
        <v>296</v>
      </c>
      <c r="B269" s="6">
        <v>1.764080882352941</v>
      </c>
      <c r="C269" s="6">
        <v>0.77970588235294114</v>
      </c>
      <c r="D269" s="3">
        <v>1.69</v>
      </c>
      <c r="E269" s="6">
        <f>3.3*0.55</f>
        <v>1.8149999999999999</v>
      </c>
      <c r="F269" s="6">
        <v>1.5</v>
      </c>
      <c r="G269" s="3">
        <v>1.67</v>
      </c>
      <c r="H269" s="6">
        <v>1.59</v>
      </c>
      <c r="I269" s="6">
        <v>3.17</v>
      </c>
      <c r="J269" s="128">
        <v>2.0859407592824364</v>
      </c>
      <c r="K269" s="128">
        <v>3.9632874426366294</v>
      </c>
      <c r="L269" s="6">
        <v>3.26</v>
      </c>
      <c r="M269" s="6">
        <f>3.35*0.55</f>
        <v>1.8425000000000002</v>
      </c>
      <c r="N269" s="6">
        <f>3.2*0.5</f>
        <v>1.6</v>
      </c>
      <c r="O269" s="3">
        <v>2.84</v>
      </c>
      <c r="P269" s="3">
        <v>2.84</v>
      </c>
      <c r="Q269" s="96">
        <v>3.4</v>
      </c>
    </row>
    <row r="270" spans="1:20" x14ac:dyDescent="0.2">
      <c r="A270" s="95" t="s">
        <v>298</v>
      </c>
      <c r="B270" s="6">
        <v>2.0455147058823528</v>
      </c>
      <c r="C270" s="6">
        <v>0.89735294117647069</v>
      </c>
      <c r="D270" s="3">
        <v>1.69</v>
      </c>
      <c r="E270" s="6">
        <f>3.35*0.55</f>
        <v>1.8425000000000002</v>
      </c>
      <c r="F270" s="6">
        <v>1.5</v>
      </c>
      <c r="G270" s="6">
        <v>1.7</v>
      </c>
      <c r="H270" s="6">
        <v>1.47</v>
      </c>
      <c r="I270" s="6">
        <v>3.1743929359823402</v>
      </c>
      <c r="J270" s="128">
        <v>2.0695364238410598</v>
      </c>
      <c r="K270" s="128">
        <v>3.8907284768211925</v>
      </c>
      <c r="L270" s="6">
        <v>3.2</v>
      </c>
      <c r="M270" s="6">
        <f>3.35*0.55</f>
        <v>1.8425000000000002</v>
      </c>
      <c r="N270" s="6">
        <f>3.2*0.5</f>
        <v>1.6</v>
      </c>
      <c r="O270" s="3">
        <v>2.84</v>
      </c>
      <c r="P270" s="3">
        <v>2.84</v>
      </c>
      <c r="Q270" s="96">
        <v>3.33</v>
      </c>
    </row>
    <row r="271" spans="1:20" x14ac:dyDescent="0.2">
      <c r="A271" s="95" t="s">
        <v>297</v>
      </c>
      <c r="B271" s="6">
        <v>2.1461733680814099</v>
      </c>
      <c r="C271" s="6">
        <v>0.95895383469843631</v>
      </c>
      <c r="D271" s="3">
        <v>1.69</v>
      </c>
      <c r="E271" s="6">
        <f>3.33*0.55</f>
        <v>1.8315000000000001</v>
      </c>
      <c r="F271" s="6">
        <v>1.51</v>
      </c>
      <c r="G271" s="3">
        <v>1.73</v>
      </c>
      <c r="H271" s="6">
        <v>1.48</v>
      </c>
      <c r="I271" s="6">
        <v>3.25</v>
      </c>
      <c r="J271" s="128">
        <v>2.3919429290809906</v>
      </c>
      <c r="K271" s="128">
        <v>4.0704993705413344</v>
      </c>
      <c r="L271" s="6">
        <v>3.1</v>
      </c>
      <c r="M271" s="6">
        <f>3.32*0.55</f>
        <v>1.8260000000000001</v>
      </c>
      <c r="N271" s="6">
        <f>3.2*0.5</f>
        <v>1.6</v>
      </c>
      <c r="O271" s="3">
        <v>2.87</v>
      </c>
      <c r="P271" s="3">
        <v>2.89</v>
      </c>
      <c r="Q271" s="96">
        <f>3.73*0.896</f>
        <v>3.3420800000000002</v>
      </c>
    </row>
    <row r="272" spans="1:20" x14ac:dyDescent="0.2">
      <c r="A272" s="95" t="s">
        <v>299</v>
      </c>
      <c r="B272" s="6">
        <v>2.134577677224736</v>
      </c>
      <c r="C272" s="6">
        <v>0.90558069381598794</v>
      </c>
      <c r="D272" s="6">
        <v>1.7</v>
      </c>
      <c r="E272" s="6">
        <f>3.4*0.55</f>
        <v>1.87</v>
      </c>
      <c r="F272" s="6">
        <v>1.56</v>
      </c>
      <c r="G272" s="3">
        <v>1.75</v>
      </c>
      <c r="H272" s="6">
        <v>1.52</v>
      </c>
      <c r="I272" s="6">
        <v>3.26</v>
      </c>
      <c r="J272" s="128">
        <v>2.5353283458021609</v>
      </c>
      <c r="K272" s="128">
        <v>3.9900249376558601</v>
      </c>
      <c r="L272" s="6">
        <v>3.12</v>
      </c>
      <c r="M272" s="6">
        <f>3.2*0.55</f>
        <v>1.7600000000000002</v>
      </c>
      <c r="N272" s="6">
        <f>3.02*0.5</f>
        <v>1.51</v>
      </c>
      <c r="O272" s="3">
        <v>2.92</v>
      </c>
      <c r="P272" s="3">
        <v>2.88</v>
      </c>
      <c r="Q272" s="96">
        <f>3.8*0.894</f>
        <v>3.3971999999999998</v>
      </c>
      <c r="R272" s="62"/>
      <c r="S272" s="40"/>
      <c r="T272" s="40"/>
    </row>
    <row r="273" spans="1:17" x14ac:dyDescent="0.2">
      <c r="A273" s="95" t="s">
        <v>302</v>
      </c>
      <c r="B273" s="6">
        <v>2.1583333333333337</v>
      </c>
      <c r="C273" s="6">
        <v>0.9356711915535445</v>
      </c>
      <c r="D273" s="6">
        <v>1.69</v>
      </c>
      <c r="E273" s="6">
        <f>3.4*0.55</f>
        <v>1.87</v>
      </c>
      <c r="F273" s="6">
        <v>1.51</v>
      </c>
      <c r="G273" s="6">
        <v>1.8</v>
      </c>
      <c r="H273" s="6">
        <v>1.56</v>
      </c>
      <c r="I273" s="6">
        <v>3.33</v>
      </c>
      <c r="J273" s="128">
        <v>2.611625947767481</v>
      </c>
      <c r="K273" s="128">
        <v>4.0438079191238412</v>
      </c>
      <c r="L273" s="6">
        <v>3.2</v>
      </c>
      <c r="M273" s="6">
        <f>3.15*0.55</f>
        <v>1.7325000000000002</v>
      </c>
      <c r="N273" s="6">
        <f>3*0.5</f>
        <v>1.5</v>
      </c>
      <c r="O273" s="3">
        <v>2.92</v>
      </c>
      <c r="P273" s="3">
        <v>2.88</v>
      </c>
      <c r="Q273" s="96">
        <f>3.75*0.894</f>
        <v>3.3525</v>
      </c>
    </row>
    <row r="274" spans="1:17" x14ac:dyDescent="0.2">
      <c r="A274" s="95" t="s">
        <v>301</v>
      </c>
      <c r="B274" s="6">
        <v>2.1759027935498523</v>
      </c>
      <c r="C274" s="6">
        <v>0.86637898402604285</v>
      </c>
      <c r="D274" s="6">
        <v>1.68</v>
      </c>
      <c r="E274" s="6">
        <f>3.3*0.55</f>
        <v>1.8149999999999999</v>
      </c>
      <c r="F274" s="6">
        <v>1.5</v>
      </c>
      <c r="G274" s="6">
        <v>1.79</v>
      </c>
      <c r="H274" s="6">
        <v>1.56</v>
      </c>
      <c r="I274" s="6">
        <v>3.42</v>
      </c>
      <c r="J274" s="128">
        <v>2.69</v>
      </c>
      <c r="K274" s="128">
        <v>4.09</v>
      </c>
      <c r="L274" s="6">
        <v>3.31</v>
      </c>
      <c r="M274" s="6">
        <f>3.15*0.55</f>
        <v>1.7325000000000002</v>
      </c>
      <c r="N274" s="6">
        <f>3*0.5</f>
        <v>1.5</v>
      </c>
      <c r="O274" s="6">
        <v>2.86</v>
      </c>
      <c r="P274" s="6">
        <v>2.86</v>
      </c>
      <c r="Q274" s="96">
        <f>3.76*0.894</f>
        <v>3.36144</v>
      </c>
    </row>
    <row r="275" spans="1:17" x14ac:dyDescent="0.2">
      <c r="A275" s="95" t="s">
        <v>303</v>
      </c>
      <c r="B275" s="6">
        <v>2.2514573396926338</v>
      </c>
      <c r="C275" s="6">
        <v>0.80952380952380965</v>
      </c>
      <c r="D275" s="6">
        <v>1.65</v>
      </c>
      <c r="E275" s="6">
        <f>3.25*0.55</f>
        <v>1.7875000000000001</v>
      </c>
      <c r="F275" s="6">
        <v>1.47</v>
      </c>
      <c r="G275" s="6">
        <v>1.74</v>
      </c>
      <c r="H275" s="6">
        <v>1.56</v>
      </c>
      <c r="I275" s="6">
        <v>3.43</v>
      </c>
      <c r="J275" s="128">
        <v>2.8948488718603658</v>
      </c>
      <c r="K275" s="128">
        <v>4.1719880800340574</v>
      </c>
      <c r="L275" s="6">
        <f>1.49/0.45436</f>
        <v>3.2793379698917158</v>
      </c>
      <c r="M275" s="6">
        <f>3.15*0.55</f>
        <v>1.7325000000000002</v>
      </c>
      <c r="N275" s="6">
        <f>3*0.5</f>
        <v>1.5</v>
      </c>
      <c r="O275" s="6">
        <v>2.86</v>
      </c>
      <c r="P275" s="6">
        <v>2.86</v>
      </c>
      <c r="Q275" s="96">
        <f>3.73*0.902</f>
        <v>3.3644600000000002</v>
      </c>
    </row>
    <row r="276" spans="1:17" x14ac:dyDescent="0.2">
      <c r="A276" s="95" t="s">
        <v>304</v>
      </c>
      <c r="B276" s="6">
        <v>2.2565233785822021</v>
      </c>
      <c r="C276" s="6">
        <v>0.79683257918552031</v>
      </c>
      <c r="D276" s="6">
        <v>1.63</v>
      </c>
      <c r="E276" s="6">
        <f>3.25*0.55</f>
        <v>1.7875000000000001</v>
      </c>
      <c r="F276" s="6">
        <v>1.42</v>
      </c>
      <c r="G276" s="6">
        <v>1.76</v>
      </c>
      <c r="H276" s="6">
        <v>1.54</v>
      </c>
      <c r="I276" s="6">
        <v>3.53</v>
      </c>
      <c r="J276" s="128">
        <v>2.9799914857386121</v>
      </c>
      <c r="K276" s="128">
        <v>4.1719880800340574</v>
      </c>
      <c r="L276" s="6">
        <f>1.4995/0.45436</f>
        <v>3.3002465005722339</v>
      </c>
      <c r="M276" s="6">
        <f>3.1*0.55</f>
        <v>1.7050000000000003</v>
      </c>
      <c r="N276" s="6">
        <f>2.9*0.5</f>
        <v>1.45</v>
      </c>
      <c r="O276" s="6">
        <v>2.88</v>
      </c>
      <c r="P276" s="6">
        <v>2.89</v>
      </c>
      <c r="Q276" s="96">
        <f>3.72*0.907</f>
        <v>3.3740400000000004</v>
      </c>
    </row>
    <row r="277" spans="1:17" x14ac:dyDescent="0.2">
      <c r="A277" s="95" t="s">
        <v>305</v>
      </c>
      <c r="B277" s="6">
        <v>2.1959046909903202</v>
      </c>
      <c r="C277" s="6">
        <v>0.81340282948622489</v>
      </c>
      <c r="D277" s="6">
        <v>1.59</v>
      </c>
      <c r="E277" s="6">
        <f>3.22*0.55</f>
        <v>1.7710000000000004</v>
      </c>
      <c r="F277" s="6">
        <v>1.35</v>
      </c>
      <c r="G277" s="6">
        <v>1.79</v>
      </c>
      <c r="H277" s="6">
        <v>1.56</v>
      </c>
      <c r="I277" s="6">
        <v>3.64</v>
      </c>
      <c r="J277" s="128">
        <v>2.9259896729776247</v>
      </c>
      <c r="K277" s="128">
        <v>4.1308089500860588</v>
      </c>
      <c r="L277" s="6">
        <f>1.5087/0.45436</f>
        <v>3.32049476186284</v>
      </c>
      <c r="M277" s="6">
        <f>3.2*0.55</f>
        <v>1.7600000000000002</v>
      </c>
      <c r="N277" s="6">
        <f>2.95*0.5</f>
        <v>1.4750000000000001</v>
      </c>
      <c r="O277" s="6">
        <v>2.93</v>
      </c>
      <c r="P277" s="6">
        <v>2.96</v>
      </c>
      <c r="Q277" s="96">
        <f>3.68*0.902</f>
        <v>3.3193600000000001</v>
      </c>
    </row>
    <row r="278" spans="1:17" x14ac:dyDescent="0.2">
      <c r="A278" s="95" t="s">
        <v>306</v>
      </c>
      <c r="B278" s="6">
        <v>2.1507491327773267</v>
      </c>
      <c r="C278" s="6">
        <v>0.81017049228725369</v>
      </c>
      <c r="D278" s="6">
        <v>1.57</v>
      </c>
      <c r="E278" s="6">
        <f>3.2*0.55</f>
        <v>1.7600000000000002</v>
      </c>
      <c r="F278" s="6">
        <v>1.35</v>
      </c>
      <c r="G278" s="6">
        <v>1.79</v>
      </c>
      <c r="H278" s="6">
        <v>1.58</v>
      </c>
      <c r="I278" s="6">
        <v>3.7</v>
      </c>
      <c r="J278" s="128">
        <v>2.9180000000000001</v>
      </c>
      <c r="K278" s="128">
        <v>4.1559999999999997</v>
      </c>
      <c r="L278" s="6">
        <f>1.5291/0.45436</f>
        <v>3.3653930803767937</v>
      </c>
      <c r="M278" s="6">
        <f>3.2*0.55</f>
        <v>1.7600000000000002</v>
      </c>
      <c r="N278" s="6">
        <f>2.95*0.5</f>
        <v>1.4750000000000001</v>
      </c>
      <c r="O278" s="6">
        <v>2.93</v>
      </c>
      <c r="P278" s="6">
        <v>2.96</v>
      </c>
      <c r="Q278" s="96">
        <f>3.6*0.924</f>
        <v>3.3264</v>
      </c>
    </row>
    <row r="279" spans="1:17" x14ac:dyDescent="0.2">
      <c r="A279" s="95" t="s">
        <v>307</v>
      </c>
      <c r="B279" s="6">
        <v>2.1684926470588235</v>
      </c>
      <c r="C279" s="6">
        <v>0.85257352941176479</v>
      </c>
      <c r="D279" s="6">
        <v>1.57</v>
      </c>
      <c r="E279" s="6">
        <f>3.2*0.55</f>
        <v>1.7600000000000002</v>
      </c>
      <c r="F279" s="6">
        <v>1.35</v>
      </c>
      <c r="G279" s="6">
        <v>1.83</v>
      </c>
      <c r="H279" s="6">
        <v>1.61</v>
      </c>
      <c r="I279" s="6">
        <v>3.72</v>
      </c>
      <c r="J279" s="128">
        <v>2.8966131907308377</v>
      </c>
      <c r="K279" s="128">
        <v>4.144385026737968</v>
      </c>
      <c r="L279" s="6">
        <v>3.2949643454529451</v>
      </c>
      <c r="M279" s="6">
        <f>3.25*0.55</f>
        <v>1.7875000000000001</v>
      </c>
      <c r="N279" s="6">
        <f>3*0.5</f>
        <v>1.5</v>
      </c>
      <c r="O279" s="6">
        <v>2.96</v>
      </c>
      <c r="P279" s="6">
        <v>2.97</v>
      </c>
      <c r="Q279" s="96">
        <v>3.2823200000000003</v>
      </c>
    </row>
    <row r="280" spans="1:17" x14ac:dyDescent="0.2">
      <c r="A280" s="95" t="s">
        <v>308</v>
      </c>
      <c r="B280" s="6">
        <v>2.3348161764705884</v>
      </c>
      <c r="C280" s="6">
        <v>0.94433823529411764</v>
      </c>
      <c r="D280" s="6">
        <v>1.57</v>
      </c>
      <c r="E280" s="6">
        <v>1.76</v>
      </c>
      <c r="F280" s="6">
        <v>1.35</v>
      </c>
      <c r="G280" s="6">
        <v>1.88</v>
      </c>
      <c r="H280" s="6">
        <v>1.66</v>
      </c>
      <c r="I280" s="6">
        <v>3.71</v>
      </c>
      <c r="J280" s="128">
        <v>2.907769195820082</v>
      </c>
      <c r="K280" s="128">
        <v>4.1799182189913671</v>
      </c>
      <c r="L280" s="6">
        <v>3.28</v>
      </c>
      <c r="M280" s="6">
        <f>3.25*0.55</f>
        <v>1.7875000000000001</v>
      </c>
      <c r="N280" s="6">
        <f>3.05*0.5</f>
        <v>1.5249999999999999</v>
      </c>
      <c r="O280" s="6">
        <v>2.99</v>
      </c>
      <c r="P280" s="6">
        <v>3.07</v>
      </c>
      <c r="Q280" s="96">
        <v>3.3499599999999998</v>
      </c>
    </row>
    <row r="281" spans="1:17" x14ac:dyDescent="0.2">
      <c r="A281" s="95" t="s">
        <v>309</v>
      </c>
      <c r="B281" s="6">
        <v>2.2426102941176471</v>
      </c>
      <c r="C281" s="6">
        <v>0.86705882352941188</v>
      </c>
      <c r="D281" s="6">
        <v>1.59</v>
      </c>
      <c r="E281" s="6">
        <f>3.18*0.55</f>
        <v>1.7490000000000003</v>
      </c>
      <c r="F281" s="6">
        <v>1.37</v>
      </c>
      <c r="G281" s="6">
        <v>1.85</v>
      </c>
      <c r="H281" s="6">
        <v>1.63</v>
      </c>
      <c r="I281" s="6">
        <v>3.69</v>
      </c>
      <c r="J281" s="128">
        <v>2.8571428571428572</v>
      </c>
      <c r="K281" s="128">
        <v>4.1071428571428568</v>
      </c>
      <c r="L281" s="6">
        <f>1.4693/0.45436</f>
        <v>3.2337793819878513</v>
      </c>
      <c r="M281" s="6">
        <f>3.2*0.55</f>
        <v>1.7600000000000002</v>
      </c>
      <c r="N281" s="6">
        <f>3.05*0.5</f>
        <v>1.5249999999999999</v>
      </c>
      <c r="O281" s="6">
        <v>3.02</v>
      </c>
      <c r="P281" s="6">
        <v>3.09</v>
      </c>
      <c r="Q281" s="96">
        <f>3.51*0.938</f>
        <v>3.2923799999999996</v>
      </c>
    </row>
    <row r="282" spans="1:17" x14ac:dyDescent="0.2">
      <c r="A282" s="95" t="s">
        <v>310</v>
      </c>
      <c r="B282" s="6">
        <v>2.1473529411764707</v>
      </c>
      <c r="C282" s="6">
        <v>0.85198529411764701</v>
      </c>
      <c r="D282" s="6">
        <v>1.6</v>
      </c>
      <c r="E282" s="6">
        <f>3.2*0.55</f>
        <v>1.7600000000000002</v>
      </c>
      <c r="F282" s="6">
        <v>1.37</v>
      </c>
      <c r="G282" s="6">
        <v>1.92</v>
      </c>
      <c r="H282" s="6">
        <v>1.74</v>
      </c>
      <c r="I282" s="6">
        <v>3.69</v>
      </c>
      <c r="J282" s="128">
        <v>2.8099910793933986</v>
      </c>
      <c r="K282" s="128">
        <v>4.0588760035682423</v>
      </c>
      <c r="L282" s="6">
        <f>1.4634/0.45436</f>
        <v>3.2207940839862665</v>
      </c>
      <c r="M282" s="6">
        <v>1.76</v>
      </c>
      <c r="N282" s="6">
        <f>3.05*0.5</f>
        <v>1.5249999999999999</v>
      </c>
      <c r="O282" s="6">
        <v>3.03</v>
      </c>
      <c r="P282" s="6">
        <v>3.14</v>
      </c>
      <c r="Q282" s="96">
        <f>3.51*0.938</f>
        <v>3.2923799999999996</v>
      </c>
    </row>
    <row r="283" spans="1:17" x14ac:dyDescent="0.2">
      <c r="A283" s="95" t="s">
        <v>311</v>
      </c>
      <c r="B283" s="6">
        <v>2.0722794117647059</v>
      </c>
      <c r="C283" s="6">
        <v>0.76977941176470599</v>
      </c>
      <c r="D283" s="6">
        <v>1.61</v>
      </c>
      <c r="E283" s="6">
        <f>3.23*0.55</f>
        <v>1.7765000000000002</v>
      </c>
      <c r="F283" s="6">
        <v>1.38</v>
      </c>
      <c r="G283" s="6">
        <v>1.94</v>
      </c>
      <c r="H283" s="6">
        <v>1.77</v>
      </c>
      <c r="I283" s="6">
        <v>3.7</v>
      </c>
      <c r="J283" s="128">
        <v>2.8213166144200623</v>
      </c>
      <c r="K283" s="128">
        <v>4.0752351097178678</v>
      </c>
      <c r="L283" s="6">
        <f>1.4634/0.45436</f>
        <v>3.2207940839862665</v>
      </c>
      <c r="M283" s="6">
        <v>1.76</v>
      </c>
      <c r="N283" s="6">
        <f>3.05*0.5</f>
        <v>1.5249999999999999</v>
      </c>
      <c r="O283" s="6" t="s">
        <v>132</v>
      </c>
      <c r="P283" s="6" t="s">
        <v>132</v>
      </c>
      <c r="Q283" s="96" t="s">
        <v>132</v>
      </c>
    </row>
    <row r="284" spans="1:17" x14ac:dyDescent="0.2">
      <c r="A284" s="95" t="s">
        <v>312</v>
      </c>
      <c r="B284" s="6">
        <v>2.2566597701740783</v>
      </c>
      <c r="C284" s="6">
        <v>0.88815554959411136</v>
      </c>
      <c r="D284" s="6">
        <v>1.61</v>
      </c>
      <c r="E284" s="6">
        <f>3.23*0.55</f>
        <v>1.7765000000000002</v>
      </c>
      <c r="F284" s="6">
        <v>1.38</v>
      </c>
      <c r="G284" s="6">
        <v>1.94</v>
      </c>
      <c r="H284" s="6">
        <v>1.77</v>
      </c>
      <c r="I284" s="6">
        <v>3.68</v>
      </c>
      <c r="J284" s="128">
        <v>2.89</v>
      </c>
      <c r="K284" s="128">
        <v>4.24</v>
      </c>
      <c r="L284" s="6">
        <v>3.26</v>
      </c>
      <c r="M284" s="6">
        <v>1.76</v>
      </c>
      <c r="N284" s="6">
        <f>3*0.5</f>
        <v>1.5</v>
      </c>
      <c r="O284" s="6">
        <v>3.02</v>
      </c>
      <c r="P284" s="6">
        <v>3.35</v>
      </c>
      <c r="Q284" s="96">
        <f>3.65*0.929</f>
        <v>3.3908499999999999</v>
      </c>
    </row>
    <row r="285" spans="1:17" x14ac:dyDescent="0.2">
      <c r="A285" s="95" t="s">
        <v>313</v>
      </c>
      <c r="B285" s="6">
        <v>2.231399492963956</v>
      </c>
      <c r="C285" s="6">
        <v>0.91964580960429143</v>
      </c>
      <c r="D285" s="6">
        <v>1.61</v>
      </c>
      <c r="E285" s="6">
        <f>3.23*0.55</f>
        <v>1.7765000000000002</v>
      </c>
      <c r="F285" s="6">
        <v>1.37</v>
      </c>
      <c r="G285" s="6">
        <v>1.95</v>
      </c>
      <c r="H285" s="6">
        <v>1.78</v>
      </c>
      <c r="I285" s="6">
        <v>3.66</v>
      </c>
      <c r="J285" s="128">
        <v>2.9823768639855399</v>
      </c>
      <c r="K285" s="128">
        <v>4.3380027112516943</v>
      </c>
      <c r="L285" s="6">
        <f>1.482/0.45436</f>
        <v>3.2617307861607538</v>
      </c>
      <c r="M285" s="6">
        <v>1.76</v>
      </c>
      <c r="N285" s="6">
        <f>3.05*0.5</f>
        <v>1.5249999999999999</v>
      </c>
      <c r="O285" s="6">
        <v>3.06</v>
      </c>
      <c r="P285" s="6">
        <v>3.29</v>
      </c>
      <c r="Q285" s="96">
        <f>3.8*0.938</f>
        <v>3.5643999999999996</v>
      </c>
    </row>
    <row r="286" spans="1:17" x14ac:dyDescent="0.2">
      <c r="A286" s="95" t="s">
        <v>314</v>
      </c>
      <c r="B286" s="6">
        <v>2.1732230239085388</v>
      </c>
      <c r="C286" s="6">
        <v>0.862074032710761</v>
      </c>
      <c r="D286" s="6">
        <v>1.61</v>
      </c>
      <c r="E286" s="6">
        <v>1.78</v>
      </c>
      <c r="F286" s="6">
        <v>1.37</v>
      </c>
      <c r="G286" s="6">
        <v>2</v>
      </c>
      <c r="H286" s="6">
        <v>1.81</v>
      </c>
      <c r="I286" s="6">
        <v>3.6</v>
      </c>
      <c r="J286" s="128">
        <v>2.9226618705035969</v>
      </c>
      <c r="K286" s="128">
        <v>4.2715827338129495</v>
      </c>
      <c r="L286" s="6">
        <f>1.4643/0.45436</f>
        <v>3.2227748921559995</v>
      </c>
      <c r="M286" s="6">
        <v>1.76</v>
      </c>
      <c r="N286" s="6">
        <f>3.05*0.5</f>
        <v>1.5249999999999999</v>
      </c>
      <c r="O286" s="6">
        <v>3.03</v>
      </c>
      <c r="P286" s="6">
        <f>3.41*0.927</f>
        <v>3.1610700000000005</v>
      </c>
      <c r="Q286" s="96">
        <f>3.8*0.927</f>
        <v>3.5226000000000002</v>
      </c>
    </row>
    <row r="287" spans="1:17" x14ac:dyDescent="0.2">
      <c r="A287" s="95" t="s">
        <v>315</v>
      </c>
      <c r="B287" s="6">
        <v>2.2536163210132316</v>
      </c>
      <c r="C287" s="6">
        <v>0.88385897633688171</v>
      </c>
      <c r="D287" s="6">
        <v>1.6</v>
      </c>
      <c r="E287" s="6">
        <f>3.2*0.55</f>
        <v>1.7600000000000002</v>
      </c>
      <c r="F287" s="6">
        <v>1.37</v>
      </c>
      <c r="G287" s="6">
        <v>1.99</v>
      </c>
      <c r="H287" s="6">
        <v>1.79</v>
      </c>
      <c r="I287" s="6">
        <v>3.59</v>
      </c>
      <c r="J287" s="128">
        <v>2.8776978417266186</v>
      </c>
      <c r="K287" s="128">
        <v>4.2266187050359711</v>
      </c>
      <c r="L287" s="6">
        <f>1.4446/0.45436</f>
        <v>3.1794172022185054</v>
      </c>
      <c r="M287" s="6">
        <v>1.76</v>
      </c>
      <c r="N287" s="6">
        <f>3.05*0.5</f>
        <v>1.5249999999999999</v>
      </c>
      <c r="O287" s="6">
        <f>3.26*0.928</f>
        <v>3.02528</v>
      </c>
      <c r="P287" s="6">
        <f>3.41*0.928</f>
        <v>3.1644800000000002</v>
      </c>
      <c r="Q287" s="96">
        <f>3.84*0.928</f>
        <v>3.56352</v>
      </c>
    </row>
    <row r="288" spans="1:17" x14ac:dyDescent="0.2">
      <c r="A288" s="95" t="s">
        <v>316</v>
      </c>
      <c r="B288" s="6">
        <v>2.1582250766311488</v>
      </c>
      <c r="C288" s="6">
        <v>0.82601080134286964</v>
      </c>
      <c r="D288" s="6">
        <v>1.6</v>
      </c>
      <c r="E288" s="6">
        <f>3.2*0.55</f>
        <v>1.7600000000000002</v>
      </c>
      <c r="F288" s="6">
        <v>1.39</v>
      </c>
      <c r="G288" s="6">
        <v>2</v>
      </c>
      <c r="H288" s="6">
        <v>1.8</v>
      </c>
      <c r="I288" s="6">
        <v>3.62</v>
      </c>
      <c r="J288" s="128">
        <v>2.8268551236749122</v>
      </c>
      <c r="K288" s="128">
        <v>4.1519434628975267</v>
      </c>
      <c r="L288" s="6">
        <v>3.18</v>
      </c>
      <c r="M288" s="6">
        <f>3.25*0.55</f>
        <v>1.7875000000000001</v>
      </c>
      <c r="N288" s="6">
        <f>3.1*0.5</f>
        <v>1.55</v>
      </c>
      <c r="O288" s="6">
        <f>3.25*0.928</f>
        <v>3.016</v>
      </c>
      <c r="P288" s="6">
        <f>3.39*0.928</f>
        <v>3.1459200000000003</v>
      </c>
      <c r="Q288" s="96">
        <f>3.82*0.928</f>
        <v>3.5449600000000001</v>
      </c>
    </row>
    <row r="289" spans="1:17" x14ac:dyDescent="0.2">
      <c r="A289" s="95" t="s">
        <v>317</v>
      </c>
      <c r="B289" s="6">
        <v>2.2190230052417008</v>
      </c>
      <c r="C289" s="6">
        <v>0.81180838672102507</v>
      </c>
      <c r="D289" s="6">
        <v>1.6</v>
      </c>
      <c r="E289" s="6">
        <f>3.2*0.55</f>
        <v>1.7600000000000002</v>
      </c>
      <c r="F289" s="6">
        <v>1.38</v>
      </c>
      <c r="G289" s="6">
        <v>2.0499999999999998</v>
      </c>
      <c r="H289" s="6">
        <v>1.85</v>
      </c>
      <c r="I289" s="6">
        <v>3.66</v>
      </c>
      <c r="J289" s="128">
        <v>3.0858676207513414</v>
      </c>
      <c r="K289" s="128">
        <v>4.3828264758497317</v>
      </c>
      <c r="L289" s="6">
        <v>3.2080000000000002</v>
      </c>
      <c r="M289" s="6">
        <f>3.25*0.55</f>
        <v>1.7875000000000001</v>
      </c>
      <c r="N289" s="6">
        <f>3.1*0.5</f>
        <v>1.55</v>
      </c>
      <c r="O289" s="6">
        <f>3.24*0.938</f>
        <v>3.03912</v>
      </c>
      <c r="P289" s="6">
        <f>3.38*0.938</f>
        <v>3.1704399999999997</v>
      </c>
      <c r="Q289" s="96">
        <f>3.94*0.938</f>
        <v>3.6957199999999997</v>
      </c>
    </row>
    <row r="290" spans="1:17" x14ac:dyDescent="0.2">
      <c r="A290" s="95" t="s">
        <v>318</v>
      </c>
      <c r="B290" s="6">
        <v>2.2160255944157639</v>
      </c>
      <c r="C290" s="6">
        <v>0.83814440485712216</v>
      </c>
      <c r="D290" s="6" t="s">
        <v>35</v>
      </c>
      <c r="E290" s="6">
        <f>3.2*0.55</f>
        <v>1.7600000000000002</v>
      </c>
      <c r="F290" s="6">
        <v>1.4</v>
      </c>
      <c r="G290" s="6">
        <v>2.02</v>
      </c>
      <c r="H290" s="6">
        <v>1.85</v>
      </c>
      <c r="I290" s="6">
        <v>3.66</v>
      </c>
      <c r="J290" s="128">
        <v>3.094170403587444</v>
      </c>
      <c r="K290" s="128">
        <v>4.3946188340807177</v>
      </c>
      <c r="L290" s="6">
        <v>3.29</v>
      </c>
      <c r="M290" s="6">
        <f>3.3*0.55</f>
        <v>1.8149999999999999</v>
      </c>
      <c r="N290" s="6">
        <f>3.1*0.5</f>
        <v>1.55</v>
      </c>
      <c r="O290" s="6">
        <f>3.24*0.94</f>
        <v>3.0455999999999999</v>
      </c>
      <c r="P290" s="6">
        <f>3.38*0.94</f>
        <v>3.1771999999999996</v>
      </c>
      <c r="Q290" s="96">
        <f>3.97*0.94</f>
        <v>3.7317999999999998</v>
      </c>
    </row>
    <row r="291" spans="1:17" x14ac:dyDescent="0.2">
      <c r="A291" s="95" t="s">
        <v>319</v>
      </c>
      <c r="B291" s="6">
        <v>2.2115174870937251</v>
      </c>
      <c r="C291" s="6">
        <v>0.84730604231803963</v>
      </c>
      <c r="D291" s="6" t="s">
        <v>35</v>
      </c>
      <c r="E291" s="6">
        <f>3.25*0.55</f>
        <v>1.7875000000000001</v>
      </c>
      <c r="F291" s="6">
        <v>1.44</v>
      </c>
      <c r="G291" s="6">
        <v>2.0499999999999998</v>
      </c>
      <c r="H291" s="6">
        <v>1.63</v>
      </c>
      <c r="I291" s="6">
        <v>3.68</v>
      </c>
      <c r="J291" s="128">
        <v>3.0098831985624441</v>
      </c>
      <c r="K291" s="128">
        <v>4.3575920934411494</v>
      </c>
      <c r="L291" s="6">
        <f>1.491/0.45436</f>
        <v>3.2815388678580866</v>
      </c>
      <c r="M291" s="6">
        <f>3.32*0.55</f>
        <v>1.8260000000000001</v>
      </c>
      <c r="N291" s="6">
        <f>3.15*0.5</f>
        <v>1.575</v>
      </c>
      <c r="O291" s="6">
        <f>3.24*0.941</f>
        <v>3.0488400000000002</v>
      </c>
      <c r="P291" s="6">
        <f>3.38*0.941</f>
        <v>3.1805799999999995</v>
      </c>
      <c r="Q291" s="96">
        <f>4.01*0.94</f>
        <v>3.7693999999999996</v>
      </c>
    </row>
    <row r="292" spans="1:17" x14ac:dyDescent="0.2">
      <c r="A292" s="95" t="s">
        <v>320</v>
      </c>
      <c r="B292" s="6">
        <v>2.3102595797280592</v>
      </c>
      <c r="C292" s="6">
        <v>0.85530429724423762</v>
      </c>
      <c r="D292" s="6" t="s">
        <v>35</v>
      </c>
      <c r="E292" s="6">
        <f>3.33*0.55</f>
        <v>1.8315000000000001</v>
      </c>
      <c r="F292" s="6">
        <v>1.48</v>
      </c>
      <c r="G292" s="6">
        <v>2.0699999999999998</v>
      </c>
      <c r="H292" s="6">
        <v>1.89</v>
      </c>
      <c r="I292" s="6">
        <v>3.62</v>
      </c>
      <c r="J292" s="128">
        <v>2.9676258992805753</v>
      </c>
      <c r="K292" s="128">
        <v>4.3165467625899279</v>
      </c>
      <c r="L292" s="6">
        <v>3.4</v>
      </c>
      <c r="M292" s="6">
        <f>3.4*0.55</f>
        <v>1.87</v>
      </c>
      <c r="N292" s="6">
        <f>3.15*0.5</f>
        <v>1.575</v>
      </c>
      <c r="O292" s="6">
        <f>3.24*0.9368</f>
        <v>3.0352320000000002</v>
      </c>
      <c r="P292" s="6">
        <f>3.38*0.938</f>
        <v>3.1704399999999997</v>
      </c>
      <c r="Q292" s="96">
        <f>4.05*0.938</f>
        <v>3.7988999999999997</v>
      </c>
    </row>
    <row r="293" spans="1:17" x14ac:dyDescent="0.2">
      <c r="A293" s="95" t="s">
        <v>321</v>
      </c>
      <c r="B293" s="6">
        <v>2.3070079883805374</v>
      </c>
      <c r="C293" s="6">
        <v>0.92076978939724041</v>
      </c>
      <c r="D293" s="6" t="s">
        <v>35</v>
      </c>
      <c r="E293" s="6">
        <f>3.4*0.55</f>
        <v>1.87</v>
      </c>
      <c r="F293" s="6">
        <v>1.51</v>
      </c>
      <c r="G293" s="6">
        <v>2.06</v>
      </c>
      <c r="H293" s="6">
        <v>1.88</v>
      </c>
      <c r="I293" s="6">
        <v>3.57</v>
      </c>
      <c r="J293" s="128">
        <v>2.8352835283528353</v>
      </c>
      <c r="K293" s="128">
        <v>4.2754275427542758</v>
      </c>
      <c r="L293" s="6">
        <v>3.47</v>
      </c>
      <c r="M293" s="6">
        <f>3.4*0.55</f>
        <v>1.87</v>
      </c>
      <c r="N293" s="6">
        <f>3.15*0.5</f>
        <v>1.575</v>
      </c>
      <c r="O293" s="6">
        <f>3.29*0.94</f>
        <v>3.0926</v>
      </c>
      <c r="P293" s="6">
        <f>3.4*0.94</f>
        <v>3.1959999999999997</v>
      </c>
      <c r="Q293" s="96">
        <f>4.06*0.94</f>
        <v>3.8163999999999993</v>
      </c>
    </row>
    <row r="294" spans="1:17" x14ac:dyDescent="0.2">
      <c r="A294" s="95" t="s">
        <v>322</v>
      </c>
      <c r="B294" s="6">
        <v>2.4225060783104113</v>
      </c>
      <c r="C294" s="6">
        <v>0.93508001596690493</v>
      </c>
      <c r="D294" s="6" t="s">
        <v>35</v>
      </c>
      <c r="E294" s="6">
        <f>3.5*0.55</f>
        <v>1.9250000000000003</v>
      </c>
      <c r="F294" s="6">
        <v>1.57</v>
      </c>
      <c r="G294" s="6">
        <v>2.0499999999999998</v>
      </c>
      <c r="H294" s="6">
        <v>1.88</v>
      </c>
      <c r="I294" s="6">
        <v>3.56</v>
      </c>
      <c r="J294" s="128">
        <v>2.8251121076233185</v>
      </c>
      <c r="K294" s="128">
        <v>4.2152466367713011</v>
      </c>
      <c r="L294" s="6">
        <f>1.5589/0.45436</f>
        <v>3.4309798397746278</v>
      </c>
      <c r="M294" s="6">
        <f>3.45*0.55</f>
        <v>1.8975000000000002</v>
      </c>
      <c r="N294" s="6">
        <f>3.1*0.5</f>
        <v>1.55</v>
      </c>
      <c r="O294" s="6">
        <f>3.29*0.937</f>
        <v>3.0827300000000002</v>
      </c>
      <c r="P294" s="6">
        <f>3.4*0.937</f>
        <v>3.1858</v>
      </c>
      <c r="Q294" s="96">
        <f>4.03*0.937</f>
        <v>3.7761100000000005</v>
      </c>
    </row>
    <row r="295" spans="1:17" x14ac:dyDescent="0.2">
      <c r="A295" s="95" t="s">
        <v>323</v>
      </c>
      <c r="B295" s="6">
        <v>2.3747464503042597</v>
      </c>
      <c r="C295" s="6">
        <v>0.95501303969863816</v>
      </c>
      <c r="D295" s="6" t="s">
        <v>35</v>
      </c>
      <c r="E295" s="6">
        <f>3.5*0.55</f>
        <v>1.9250000000000003</v>
      </c>
      <c r="F295" s="6">
        <v>1.58</v>
      </c>
      <c r="G295" s="6">
        <v>2.06</v>
      </c>
      <c r="H295" s="6">
        <v>1.88</v>
      </c>
      <c r="I295" s="6">
        <v>3.55</v>
      </c>
      <c r="J295" s="128">
        <v>2.8828828828828827</v>
      </c>
      <c r="K295" s="128">
        <v>4.1441441441441436</v>
      </c>
      <c r="L295" s="6">
        <f>1.5605/0.45436</f>
        <v>3.4345012765208205</v>
      </c>
      <c r="M295" s="6">
        <f>3.55*0.55</f>
        <v>1.9525000000000001</v>
      </c>
      <c r="N295" s="6">
        <f>3.3*0.5</f>
        <v>1.65</v>
      </c>
      <c r="O295" s="6">
        <f>3.28*0.945</f>
        <v>3.0995999999999997</v>
      </c>
      <c r="P295" s="6">
        <f>3.4*0.945</f>
        <v>3.2129999999999996</v>
      </c>
      <c r="Q295" s="96">
        <f>3.99*0.945</f>
        <v>3.7705500000000001</v>
      </c>
    </row>
    <row r="296" spans="1:17" x14ac:dyDescent="0.2">
      <c r="A296" s="95" t="s">
        <v>331</v>
      </c>
      <c r="B296" s="6">
        <v>2.4464453265968964</v>
      </c>
      <c r="C296" s="6">
        <v>1.0773727896066401</v>
      </c>
      <c r="D296" s="6" t="s">
        <v>35</v>
      </c>
      <c r="E296" s="6">
        <v>1.925</v>
      </c>
      <c r="F296" s="6">
        <v>1.58</v>
      </c>
      <c r="G296" s="6">
        <v>1.97</v>
      </c>
      <c r="H296" s="6">
        <v>1.82</v>
      </c>
      <c r="I296" s="6">
        <v>3.49</v>
      </c>
      <c r="J296" s="128">
        <v>2.7312775330396475</v>
      </c>
      <c r="K296" s="128">
        <v>4.0528634361233475</v>
      </c>
      <c r="L296" s="6">
        <v>3.59</v>
      </c>
      <c r="M296" s="6">
        <f>3.5*0.55</f>
        <v>1.9250000000000003</v>
      </c>
      <c r="N296" s="6">
        <f>3.32*0.5</f>
        <v>1.66</v>
      </c>
      <c r="O296" s="6">
        <f>3.28*0.932</f>
        <v>3.0569600000000001</v>
      </c>
      <c r="P296" s="6">
        <f>3.39*0.932</f>
        <v>3.1594800000000003</v>
      </c>
      <c r="Q296" s="96">
        <f>4*0.932</f>
        <v>3.7280000000000002</v>
      </c>
    </row>
    <row r="297" spans="1:17" x14ac:dyDescent="0.2">
      <c r="A297" s="95" t="s">
        <v>332</v>
      </c>
      <c r="B297" s="6">
        <v>2.3413340975854409</v>
      </c>
      <c r="C297" s="6">
        <v>1.1719567242244033</v>
      </c>
      <c r="D297" s="6" t="s">
        <v>35</v>
      </c>
      <c r="E297" s="6">
        <f>3.54*0.55</f>
        <v>1.9470000000000003</v>
      </c>
      <c r="F297" s="6">
        <f>3.21*0.5</f>
        <v>1.605</v>
      </c>
      <c r="G297" s="6">
        <v>1.97</v>
      </c>
      <c r="H297" s="6">
        <v>1.8</v>
      </c>
      <c r="I297" s="6">
        <v>3.53</v>
      </c>
      <c r="J297" s="128">
        <v>2.7130000000000001</v>
      </c>
      <c r="K297" s="128">
        <v>4.0259999999999998</v>
      </c>
      <c r="L297" s="6">
        <f>1.627/0.45436</f>
        <v>3.5808609912844442</v>
      </c>
      <c r="M297" s="6">
        <v>1.94</v>
      </c>
      <c r="N297" s="6"/>
      <c r="O297" s="6">
        <f>3.28*0.927</f>
        <v>3.0405600000000002</v>
      </c>
      <c r="P297" s="6">
        <f>3.39*0.927</f>
        <v>3.1425300000000003</v>
      </c>
      <c r="Q297" s="96">
        <f>4.02*0.927</f>
        <v>3.72654</v>
      </c>
    </row>
    <row r="298" spans="1:17" x14ac:dyDescent="0.2">
      <c r="A298" s="95" t="s">
        <v>333</v>
      </c>
      <c r="B298" s="6">
        <v>2.3754472591956488</v>
      </c>
      <c r="C298" s="6">
        <v>1.1610133104336624</v>
      </c>
      <c r="D298" s="6" t="s">
        <v>35</v>
      </c>
      <c r="E298" s="6">
        <f>3.54*0.55</f>
        <v>1.9470000000000003</v>
      </c>
      <c r="F298" s="6">
        <v>1.61</v>
      </c>
      <c r="G298" s="6">
        <v>2</v>
      </c>
      <c r="H298" s="6">
        <v>1.83</v>
      </c>
      <c r="I298" s="6">
        <v>3.61</v>
      </c>
      <c r="J298" s="128">
        <v>2.9942756494936154</v>
      </c>
      <c r="K298" s="128">
        <v>4.1611624834874501</v>
      </c>
      <c r="L298" s="6">
        <v>3.52</v>
      </c>
      <c r="M298" s="6">
        <f>3.6*0.55</f>
        <v>1.9800000000000002</v>
      </c>
      <c r="N298" s="6">
        <f>3.4*0.5</f>
        <v>1.7</v>
      </c>
      <c r="O298" s="6">
        <f>3.27*0.93</f>
        <v>3.0411000000000001</v>
      </c>
      <c r="P298" s="6">
        <f>3.39*0.93</f>
        <v>3.1527000000000003</v>
      </c>
      <c r="Q298" s="96">
        <f>4.01*0.93</f>
        <v>3.7292999999999998</v>
      </c>
    </row>
    <row r="299" spans="1:17" x14ac:dyDescent="0.2">
      <c r="A299" s="95" t="s">
        <v>324</v>
      </c>
      <c r="B299" s="6">
        <v>2.5468172776356925</v>
      </c>
      <c r="C299" s="6">
        <v>1.1543762432509235</v>
      </c>
      <c r="D299" s="6" t="s">
        <v>35</v>
      </c>
      <c r="E299" s="6">
        <f>3.57*0.55</f>
        <v>1.9635</v>
      </c>
      <c r="F299" s="6">
        <v>1.66</v>
      </c>
      <c r="G299" s="6">
        <v>1.94</v>
      </c>
      <c r="H299" s="6">
        <v>1.83</v>
      </c>
      <c r="I299" s="6">
        <v>3.65</v>
      </c>
      <c r="J299" s="128">
        <v>3.2656663724624893</v>
      </c>
      <c r="K299" s="128">
        <v>4.3248014121800535</v>
      </c>
      <c r="L299" s="6">
        <v>3.41</v>
      </c>
      <c r="M299" s="6">
        <f>3.55*0.55</f>
        <v>1.9525000000000001</v>
      </c>
      <c r="N299" s="6">
        <f>3.4*0.5</f>
        <v>1.7</v>
      </c>
      <c r="O299" s="6">
        <f>3.29*0.925</f>
        <v>3.04325</v>
      </c>
      <c r="P299" s="6">
        <f>3.4*0.925</f>
        <v>3.145</v>
      </c>
      <c r="Q299" s="96">
        <f>4.01*0.925</f>
        <v>3.7092499999999999</v>
      </c>
    </row>
    <row r="300" spans="1:17" x14ac:dyDescent="0.2">
      <c r="A300" s="95" t="s">
        <v>325</v>
      </c>
      <c r="B300" s="6">
        <v>2.5201127157449812</v>
      </c>
      <c r="C300" s="6">
        <v>1.1913349771046144</v>
      </c>
      <c r="D300" s="6" t="s">
        <v>35</v>
      </c>
      <c r="E300" s="6">
        <f>3.57*0.55</f>
        <v>1.9635</v>
      </c>
      <c r="F300" s="6">
        <v>1.66</v>
      </c>
      <c r="G300" s="6">
        <v>1.94</v>
      </c>
      <c r="H300" s="6">
        <v>1.79</v>
      </c>
      <c r="I300" s="6">
        <v>3.8</v>
      </c>
      <c r="J300" s="128">
        <v>3.2114183764495987</v>
      </c>
      <c r="K300" s="128">
        <v>4.3264942016057093</v>
      </c>
      <c r="L300" s="6">
        <v>3.37</v>
      </c>
      <c r="M300" s="6">
        <f>3.55*0.55</f>
        <v>1.9525000000000001</v>
      </c>
      <c r="N300" s="6">
        <f>3.35*0.5</f>
        <v>1.675</v>
      </c>
      <c r="O300" s="6">
        <v>3.12</v>
      </c>
      <c r="P300" s="6">
        <v>3.23</v>
      </c>
      <c r="Q300" s="96">
        <v>3.82</v>
      </c>
    </row>
    <row r="301" spans="1:17" x14ac:dyDescent="0.2">
      <c r="A301" s="95" t="s">
        <v>326</v>
      </c>
      <c r="B301" s="6">
        <v>2.4555746984986464</v>
      </c>
      <c r="C301" s="6">
        <v>1.2646531415913647</v>
      </c>
      <c r="D301" s="6" t="s">
        <v>35</v>
      </c>
      <c r="E301" s="6">
        <f>3.6*0.55</f>
        <v>1.9800000000000002</v>
      </c>
      <c r="F301" s="6">
        <v>1.66</v>
      </c>
      <c r="G301" s="6">
        <v>1.95</v>
      </c>
      <c r="H301" s="6">
        <v>1.79</v>
      </c>
      <c r="I301" s="6">
        <v>3.81</v>
      </c>
      <c r="J301" s="128">
        <v>3.1639928698752224</v>
      </c>
      <c r="K301" s="128">
        <v>4.2780748663101598</v>
      </c>
      <c r="L301" s="6">
        <v>3.42</v>
      </c>
      <c r="M301" s="6">
        <f>3.6*0.55</f>
        <v>1.9800000000000002</v>
      </c>
      <c r="N301" s="6">
        <f>3.35*0.5</f>
        <v>1.675</v>
      </c>
      <c r="O301" s="6">
        <f>3.39*0.934</f>
        <v>3.1662600000000003</v>
      </c>
      <c r="P301" s="6">
        <f>3.49*0.934</f>
        <v>3.2596600000000002</v>
      </c>
      <c r="Q301" s="96">
        <f>4.08*0.934</f>
        <v>3.8107200000000003</v>
      </c>
    </row>
    <row r="302" spans="1:17" x14ac:dyDescent="0.2">
      <c r="A302" s="95" t="s">
        <v>327</v>
      </c>
      <c r="B302" s="6">
        <v>2.4523775977456856</v>
      </c>
      <c r="C302" s="6">
        <v>1.3787953504755197</v>
      </c>
      <c r="D302" s="6" t="s">
        <v>35</v>
      </c>
      <c r="E302" s="6">
        <f>3.6*0.55</f>
        <v>1.9800000000000002</v>
      </c>
      <c r="F302" s="6">
        <v>1.68</v>
      </c>
      <c r="G302" s="6">
        <v>1.92</v>
      </c>
      <c r="H302" s="6">
        <v>1.76</v>
      </c>
      <c r="I302" s="6">
        <v>3.67</v>
      </c>
      <c r="J302" s="128">
        <v>3.04</v>
      </c>
      <c r="K302" s="128">
        <v>4.1500000000000004</v>
      </c>
      <c r="L302" s="6">
        <v>3.56</v>
      </c>
      <c r="M302" s="6">
        <f>3.65*0.55</f>
        <v>2.0075000000000003</v>
      </c>
      <c r="N302" s="6">
        <f>3.45*0.5</f>
        <v>1.7250000000000001</v>
      </c>
      <c r="O302" s="6">
        <f>3.45*0.919</f>
        <v>3.1705500000000004</v>
      </c>
      <c r="P302" s="6">
        <f>3.61*0.919</f>
        <v>3.31759</v>
      </c>
      <c r="Q302" s="96">
        <f>4.09*0.919</f>
        <v>3.7587100000000002</v>
      </c>
    </row>
    <row r="303" spans="1:17" x14ac:dyDescent="0.2">
      <c r="A303" s="95" t="s">
        <v>328</v>
      </c>
      <c r="B303" s="6">
        <v>2.3509382247522668</v>
      </c>
      <c r="C303" s="6">
        <v>1.4360109635251952</v>
      </c>
      <c r="D303" s="6" t="s">
        <v>35</v>
      </c>
      <c r="E303" s="6">
        <f>3.62*0.55</f>
        <v>1.9910000000000003</v>
      </c>
      <c r="F303" s="6">
        <v>1.71</v>
      </c>
      <c r="G303" s="6">
        <v>1.88</v>
      </c>
      <c r="H303" s="6">
        <v>1.68</v>
      </c>
      <c r="I303" s="6">
        <v>3.62</v>
      </c>
      <c r="J303" s="128">
        <v>2.8595458368376785</v>
      </c>
      <c r="K303" s="128">
        <v>3.9949537426408743</v>
      </c>
      <c r="L303" s="6">
        <v>3.54</v>
      </c>
      <c r="M303" s="6">
        <f>3.7*0.55</f>
        <v>2.0350000000000001</v>
      </c>
      <c r="N303" s="6">
        <f>3.5*0.5</f>
        <v>1.75</v>
      </c>
      <c r="O303" s="6">
        <f>3.47*0.896</f>
        <v>3.1091200000000003</v>
      </c>
      <c r="P303" s="6">
        <f>3.68*0.896</f>
        <v>3.2972800000000002</v>
      </c>
      <c r="Q303" s="96">
        <f>4.19*0.896</f>
        <v>3.7542400000000002</v>
      </c>
    </row>
    <row r="304" spans="1:17" x14ac:dyDescent="0.2">
      <c r="A304" s="95" t="s">
        <v>329</v>
      </c>
      <c r="B304" s="6">
        <v>2.2715148111750665</v>
      </c>
      <c r="C304" s="6">
        <v>1.412817633019795</v>
      </c>
      <c r="D304" s="6" t="s">
        <v>35</v>
      </c>
      <c r="E304" s="6">
        <f>3.63*0.55</f>
        <v>1.9965000000000002</v>
      </c>
      <c r="F304" s="6">
        <v>1.72</v>
      </c>
      <c r="G304" s="6">
        <v>1.82</v>
      </c>
      <c r="H304" s="6">
        <v>1.67</v>
      </c>
      <c r="I304" s="6">
        <v>3.56</v>
      </c>
      <c r="J304" s="128">
        <v>2.7754763877381938</v>
      </c>
      <c r="K304" s="128">
        <v>3.976801988400994</v>
      </c>
      <c r="L304" s="6">
        <f>1.5674/0.45436</f>
        <v>3.4496874724887752</v>
      </c>
      <c r="M304" s="6">
        <f>3.7*0.55</f>
        <v>2.0350000000000001</v>
      </c>
      <c r="N304" s="6">
        <f>3.5*0.5</f>
        <v>1.75</v>
      </c>
      <c r="O304" s="6">
        <f>3.49*0.882</f>
        <v>3.0781800000000001</v>
      </c>
      <c r="P304" s="6">
        <f>3.71*0.882</f>
        <v>3.2722199999999999</v>
      </c>
      <c r="Q304" s="96">
        <f>4.25*0.882</f>
        <v>3.7484999999999999</v>
      </c>
    </row>
    <row r="305" spans="1:17" x14ac:dyDescent="0.2">
      <c r="A305" s="95" t="s">
        <v>330</v>
      </c>
      <c r="B305" s="6">
        <v>2.1964985994397761</v>
      </c>
      <c r="C305" s="6">
        <v>1.3742997198879552</v>
      </c>
      <c r="D305" s="6" t="s">
        <v>35</v>
      </c>
      <c r="E305" s="6">
        <f>3.62*0.55</f>
        <v>1.9910000000000003</v>
      </c>
      <c r="F305" s="6">
        <v>1.72</v>
      </c>
      <c r="G305" s="6">
        <v>1.79</v>
      </c>
      <c r="H305" s="6">
        <v>1.64</v>
      </c>
      <c r="I305" s="6">
        <v>3.52</v>
      </c>
      <c r="J305" s="128">
        <v>2.8305701577031948</v>
      </c>
      <c r="K305" s="128">
        <v>3.9627982207844727</v>
      </c>
      <c r="L305" s="6">
        <f>1.5675/0.45436</f>
        <v>3.4499075622854125</v>
      </c>
      <c r="M305" s="6">
        <f>3.65*0.55</f>
        <v>2.0075000000000003</v>
      </c>
      <c r="N305" s="6">
        <f>3.4*0.5</f>
        <v>1.7</v>
      </c>
      <c r="O305" s="6">
        <f>3.51*0.88</f>
        <v>3.0888</v>
      </c>
      <c r="P305" s="6">
        <f>3.73*0.88</f>
        <v>3.2824</v>
      </c>
      <c r="Q305" s="96">
        <f>4.31*0.88</f>
        <v>3.7927999999999997</v>
      </c>
    </row>
    <row r="306" spans="1:17" x14ac:dyDescent="0.2">
      <c r="A306" s="95" t="s">
        <v>334</v>
      </c>
      <c r="B306" s="6">
        <v>2.3488455358390388</v>
      </c>
      <c r="C306" s="6">
        <v>1.4086209305574962</v>
      </c>
      <c r="D306" s="6" t="s">
        <v>35</v>
      </c>
      <c r="E306" s="6">
        <f>3.6*0.55</f>
        <v>1.9800000000000002</v>
      </c>
      <c r="F306" s="6">
        <v>1.71</v>
      </c>
      <c r="G306" s="6">
        <v>1.76</v>
      </c>
      <c r="H306" s="6">
        <v>1.64</v>
      </c>
      <c r="I306" s="6">
        <v>3.63</v>
      </c>
      <c r="J306" s="128">
        <v>2.9776674937965257</v>
      </c>
      <c r="K306" s="128">
        <v>4.1356492969396195</v>
      </c>
      <c r="L306" s="6">
        <f>1.6054/0.45436</f>
        <v>3.5333215952108459</v>
      </c>
      <c r="M306" s="6">
        <f>3.55*0.55</f>
        <v>1.9525000000000001</v>
      </c>
      <c r="N306" s="6">
        <f>3.4*0.5</f>
        <v>1.7</v>
      </c>
      <c r="O306" s="6">
        <f>3.51*0.888</f>
        <v>3.1168799999999997</v>
      </c>
      <c r="P306" s="6">
        <f>3.73*0.888</f>
        <v>3.3122400000000001</v>
      </c>
      <c r="Q306" s="96">
        <f>4.33*0.888</f>
        <v>3.84504</v>
      </c>
    </row>
    <row r="307" spans="1:17" x14ac:dyDescent="0.2">
      <c r="A307" s="95" t="s">
        <v>335</v>
      </c>
      <c r="B307" s="6">
        <v>2.2085021657118906</v>
      </c>
      <c r="C307" s="6">
        <v>1.3320525359787621</v>
      </c>
      <c r="D307" s="6" t="s">
        <v>35</v>
      </c>
      <c r="E307" s="6">
        <f>3.54*0.55</f>
        <v>1.9470000000000003</v>
      </c>
      <c r="F307" s="6">
        <v>1.68</v>
      </c>
      <c r="G307" s="6">
        <v>1.79</v>
      </c>
      <c r="H307" s="6">
        <v>1.64</v>
      </c>
      <c r="I307" s="6">
        <v>3.59</v>
      </c>
      <c r="J307" s="128">
        <v>2.9146141215106733</v>
      </c>
      <c r="K307" s="128">
        <v>4.0640394088669956</v>
      </c>
      <c r="L307" s="6">
        <f>1.6382/0.45436</f>
        <v>3.6055110485077915</v>
      </c>
      <c r="M307" s="6">
        <f>3.55*0.55</f>
        <v>1.9525000000000001</v>
      </c>
      <c r="N307" s="6">
        <f>3.4*0.5</f>
        <v>1.7</v>
      </c>
      <c r="O307" s="6">
        <f>3.52*0.879</f>
        <v>3.0940799999999999</v>
      </c>
      <c r="P307" s="6">
        <f>3.73*0.879</f>
        <v>3.27867</v>
      </c>
      <c r="Q307" s="96">
        <f>4.34*0.879</f>
        <v>3.8148599999999999</v>
      </c>
    </row>
    <row r="308" spans="1:17" x14ac:dyDescent="0.2">
      <c r="A308" s="95" t="s">
        <v>336</v>
      </c>
      <c r="B308" s="6">
        <v>2.1880052969054917</v>
      </c>
      <c r="C308" s="6">
        <v>1.3081962642877056</v>
      </c>
      <c r="D308" s="6" t="s">
        <v>35</v>
      </c>
      <c r="E308" s="6">
        <f>3.5*0.55</f>
        <v>1.9250000000000003</v>
      </c>
      <c r="F308" s="6">
        <v>1.66</v>
      </c>
      <c r="G308" s="6">
        <v>1.81</v>
      </c>
      <c r="H308" s="6">
        <v>1.65</v>
      </c>
      <c r="I308" s="6">
        <v>3.72</v>
      </c>
      <c r="J308" s="128" t="s">
        <v>132</v>
      </c>
      <c r="K308" s="128" t="s">
        <v>132</v>
      </c>
      <c r="L308" s="6">
        <f>1.6376/0.45436</f>
        <v>3.6041905097279692</v>
      </c>
      <c r="M308" s="6">
        <f>3.4*0.55</f>
        <v>1.87</v>
      </c>
      <c r="N308" s="6">
        <f>3.2*0.5</f>
        <v>1.6</v>
      </c>
      <c r="O308" s="6">
        <f>3.62*0.876</f>
        <v>3.1711200000000002</v>
      </c>
      <c r="P308" s="6">
        <f>3.69*0.876</f>
        <v>3.23244</v>
      </c>
      <c r="Q308" s="96">
        <f>4.37*0.876</f>
        <v>3.8281200000000002</v>
      </c>
    </row>
    <row r="309" spans="1:17" x14ac:dyDescent="0.2">
      <c r="A309" s="95" t="s">
        <v>337</v>
      </c>
      <c r="B309" s="6">
        <v>2.153637312913331</v>
      </c>
      <c r="C309" s="6">
        <v>1.3231465367211974</v>
      </c>
      <c r="D309" s="6" t="s">
        <v>35</v>
      </c>
      <c r="E309" s="6">
        <f>3.5*0.55</f>
        <v>1.9250000000000003</v>
      </c>
      <c r="F309" s="6">
        <v>1.66</v>
      </c>
      <c r="G309" s="6">
        <v>1.8</v>
      </c>
      <c r="H309" s="6">
        <v>1.64</v>
      </c>
      <c r="I309" s="6">
        <v>3.85</v>
      </c>
      <c r="J309" s="128">
        <v>2.86</v>
      </c>
      <c r="K309" s="128">
        <v>4.2699999999999996</v>
      </c>
      <c r="L309" s="6">
        <f>1.6879/0.45436</f>
        <v>3.7148956774363939</v>
      </c>
      <c r="M309" s="6">
        <f>3.4*0.55</f>
        <v>1.87</v>
      </c>
      <c r="N309" s="6">
        <f>3.2*0.5</f>
        <v>1.6</v>
      </c>
      <c r="O309" s="6">
        <f>3.56*0.877</f>
        <v>3.1221200000000002</v>
      </c>
      <c r="P309" s="6">
        <f>3.65*0.877</f>
        <v>3.20105</v>
      </c>
      <c r="Q309" s="96">
        <f>4.36*0.877</f>
        <v>3.8237200000000002</v>
      </c>
    </row>
    <row r="310" spans="1:17" x14ac:dyDescent="0.2">
      <c r="A310" s="95" t="s">
        <v>338</v>
      </c>
      <c r="B310" s="6">
        <v>2.2174109313146744</v>
      </c>
      <c r="C310" s="6">
        <v>1.3202305715674698</v>
      </c>
      <c r="D310" s="6" t="s">
        <v>35</v>
      </c>
      <c r="E310" s="6">
        <f>3.47*0.55</f>
        <v>1.9085000000000003</v>
      </c>
      <c r="F310" s="6">
        <v>1.65</v>
      </c>
      <c r="G310" s="6">
        <v>1.77</v>
      </c>
      <c r="H310" s="6">
        <v>1.61</v>
      </c>
      <c r="I310" s="6">
        <v>3.67</v>
      </c>
      <c r="J310" s="128">
        <v>2.8627450980392157</v>
      </c>
      <c r="K310" s="128">
        <v>4.4313725490196081</v>
      </c>
      <c r="L310" s="6">
        <f>1.6746/0.45436</f>
        <v>3.6856237344836695</v>
      </c>
      <c r="M310" s="6">
        <f>3.45*0.55</f>
        <v>1.8975000000000002</v>
      </c>
      <c r="N310" s="6">
        <f>3.25*0.5</f>
        <v>1.625</v>
      </c>
      <c r="O310" s="6">
        <f>3.52*0.858</f>
        <v>3.0201600000000002</v>
      </c>
      <c r="P310" s="6">
        <f>3.62*0.858</f>
        <v>3.1059600000000001</v>
      </c>
      <c r="Q310" s="96">
        <f>4.77*0.858</f>
        <v>4.0926599999999995</v>
      </c>
    </row>
    <row r="311" spans="1:17" x14ac:dyDescent="0.2">
      <c r="A311" s="95" t="s">
        <v>339</v>
      </c>
      <c r="B311" s="6">
        <v>2.2089381207028267</v>
      </c>
      <c r="C311" s="6">
        <v>1.3388429752066113</v>
      </c>
      <c r="D311" s="6">
        <v>1.82</v>
      </c>
      <c r="E311" s="6">
        <f>3.48*0.55</f>
        <v>1.9140000000000001</v>
      </c>
      <c r="F311" s="6">
        <v>1.65</v>
      </c>
      <c r="G311" s="6">
        <v>1.76</v>
      </c>
      <c r="H311" s="6">
        <v>1.7</v>
      </c>
      <c r="I311" s="6">
        <v>3.69</v>
      </c>
      <c r="J311" s="128" t="s">
        <v>132</v>
      </c>
      <c r="K311" s="128" t="s">
        <v>132</v>
      </c>
      <c r="L311" s="6">
        <f>1.6661/0.45436</f>
        <v>3.6669161017695218</v>
      </c>
      <c r="M311" s="6">
        <f>3.5*0.55</f>
        <v>1.9250000000000003</v>
      </c>
      <c r="N311" s="6">
        <f>3.3*0.5</f>
        <v>1.65</v>
      </c>
      <c r="O311" s="6">
        <f>3.54*0.87</f>
        <v>3.0798000000000001</v>
      </c>
      <c r="P311" s="6">
        <f>3.62*0.87</f>
        <v>3.1494</v>
      </c>
      <c r="Q311" s="96">
        <f>4.94*0.87</f>
        <v>4.2978000000000005</v>
      </c>
    </row>
    <row r="312" spans="1:17" x14ac:dyDescent="0.2">
      <c r="A312" s="95" t="s">
        <v>340</v>
      </c>
      <c r="B312" s="6">
        <v>2.1914627798021864</v>
      </c>
      <c r="C312" s="6">
        <v>1.2960610792989764</v>
      </c>
      <c r="D312" s="6">
        <v>1.82</v>
      </c>
      <c r="E312" s="6">
        <f>3.48*0.55</f>
        <v>1.9140000000000001</v>
      </c>
      <c r="F312" s="6">
        <v>1.64</v>
      </c>
      <c r="G312" s="6">
        <v>1.75</v>
      </c>
      <c r="H312" s="6">
        <v>1.62</v>
      </c>
      <c r="I312" s="6">
        <v>3.81</v>
      </c>
      <c r="J312" s="128">
        <v>2.6054097056483694</v>
      </c>
      <c r="K312" s="128">
        <v>4.1766109785202872</v>
      </c>
      <c r="L312" s="6">
        <f>1.699/0.45436</f>
        <v>3.7393256448631043</v>
      </c>
      <c r="M312" s="6">
        <f>3.5*0.55</f>
        <v>1.9250000000000003</v>
      </c>
      <c r="N312" s="6">
        <f>3.3*0.5</f>
        <v>1.65</v>
      </c>
      <c r="O312" s="6">
        <f>3.53*0.859</f>
        <v>3.0322699999999996</v>
      </c>
      <c r="P312" s="6">
        <f>3.61*0.859</f>
        <v>3.1009899999999999</v>
      </c>
      <c r="Q312" s="96">
        <f>5.04*0.87</f>
        <v>4.3848000000000003</v>
      </c>
    </row>
    <row r="313" spans="1:17" x14ac:dyDescent="0.2">
      <c r="A313" s="95" t="s">
        <v>341</v>
      </c>
      <c r="B313" s="6">
        <v>2.144873751387347</v>
      </c>
      <c r="C313" s="6">
        <v>1.2710876803551607</v>
      </c>
      <c r="D313" s="6">
        <v>1.82</v>
      </c>
      <c r="E313" s="6">
        <f>3.5*0.55</f>
        <v>1.9250000000000003</v>
      </c>
      <c r="F313" s="6">
        <v>1.64</v>
      </c>
      <c r="G313" s="6">
        <v>1.83</v>
      </c>
      <c r="H313" s="6">
        <v>1.69</v>
      </c>
      <c r="I313" s="6">
        <v>3.77</v>
      </c>
      <c r="J313" s="128">
        <v>2.5486381322957201</v>
      </c>
      <c r="K313" s="128">
        <v>4.0661478599221788</v>
      </c>
      <c r="L313" s="6">
        <f>1.7115/0.45436</f>
        <v>3.766836869442733</v>
      </c>
      <c r="M313" s="6">
        <f>3.55*0.55</f>
        <v>1.9525000000000001</v>
      </c>
      <c r="N313" s="6">
        <f>3.35*0.5</f>
        <v>1.675</v>
      </c>
      <c r="O313" s="6">
        <f>3.47*0.858</f>
        <v>2.9772600000000002</v>
      </c>
      <c r="P313" s="6">
        <f>3.55*0.858</f>
        <v>3.0458999999999996</v>
      </c>
      <c r="Q313" s="96">
        <f>5.05*0.858</f>
        <v>4.3328999999999995</v>
      </c>
    </row>
    <row r="314" spans="1:17" x14ac:dyDescent="0.2">
      <c r="A314" s="95" t="s">
        <v>342</v>
      </c>
      <c r="B314" s="6">
        <v>2.0973571032186458</v>
      </c>
      <c r="C314" s="6">
        <v>1.2477108768035516</v>
      </c>
      <c r="D314" s="6">
        <v>1.82</v>
      </c>
      <c r="E314" s="6">
        <f>3.5*0.55</f>
        <v>1.9250000000000003</v>
      </c>
      <c r="F314" s="6">
        <v>1.64</v>
      </c>
      <c r="G314" s="6">
        <v>1.88</v>
      </c>
      <c r="H314" s="6">
        <v>1.74</v>
      </c>
      <c r="I314" s="6">
        <v>3.72</v>
      </c>
      <c r="J314" s="128">
        <v>2.4555297757153904</v>
      </c>
      <c r="K314" s="128">
        <v>4.0409899458623357</v>
      </c>
      <c r="L314" s="6">
        <f>1.7138/0.45436</f>
        <v>3.7718989347653844</v>
      </c>
      <c r="M314" s="6">
        <f>3.57*0.55</f>
        <v>1.9635</v>
      </c>
      <c r="N314" s="6">
        <f>3.35*0.5</f>
        <v>1.675</v>
      </c>
      <c r="O314" s="6">
        <f>3.47*0.84</f>
        <v>2.9148000000000001</v>
      </c>
      <c r="P314" s="6">
        <f>3.57*0.84</f>
        <v>2.9987999999999997</v>
      </c>
      <c r="Q314" s="96">
        <f>5.05*0.84</f>
        <v>4.242</v>
      </c>
    </row>
    <row r="315" spans="1:17" x14ac:dyDescent="0.2">
      <c r="A315" s="95" t="s">
        <v>343</v>
      </c>
      <c r="B315" s="6">
        <v>2.003252595155709</v>
      </c>
      <c r="C315" s="6">
        <v>1.1127335640138409</v>
      </c>
      <c r="D315" s="6">
        <v>1.8</v>
      </c>
      <c r="E315" s="6">
        <f>3.48*0.55</f>
        <v>1.9140000000000001</v>
      </c>
      <c r="F315" s="6">
        <v>1.63</v>
      </c>
      <c r="G315" s="6">
        <v>1.91</v>
      </c>
      <c r="H315" s="6">
        <v>1.74</v>
      </c>
      <c r="I315" s="6">
        <v>3.6</v>
      </c>
      <c r="J315" s="128">
        <v>2.3387400980761979</v>
      </c>
      <c r="K315" s="128">
        <v>3.9419087136929463</v>
      </c>
      <c r="L315" s="6">
        <f>1.6683/0.45436</f>
        <v>3.6717580772955363</v>
      </c>
      <c r="M315" s="6">
        <f>3.6*0.55</f>
        <v>1.9800000000000002</v>
      </c>
      <c r="N315" s="6">
        <f>3.3*0.5</f>
        <v>1.65</v>
      </c>
      <c r="O315" s="6">
        <f>3.49*0.8263</f>
        <v>2.8837870000000003</v>
      </c>
      <c r="P315" s="6">
        <f>3.57*0.8263</f>
        <v>2.949891</v>
      </c>
      <c r="Q315" s="96">
        <f>5.25*0.7804</f>
        <v>4.0971000000000002</v>
      </c>
    </row>
    <row r="316" spans="1:17" x14ac:dyDescent="0.2">
      <c r="A316" s="95" t="s">
        <v>344</v>
      </c>
      <c r="B316" s="6">
        <v>2.2350173010380625</v>
      </c>
      <c r="C316" s="6">
        <v>1.2730795847750866</v>
      </c>
      <c r="D316" s="6">
        <v>1.78</v>
      </c>
      <c r="E316" s="6">
        <f>3.43*0.55</f>
        <v>1.8865000000000003</v>
      </c>
      <c r="F316" s="6">
        <v>1.58</v>
      </c>
      <c r="G316" s="6">
        <v>1.85</v>
      </c>
      <c r="H316" s="6">
        <v>1.72</v>
      </c>
      <c r="I316" s="6">
        <v>3.58</v>
      </c>
      <c r="J316" s="128">
        <v>2.3360964581763377</v>
      </c>
      <c r="K316" s="128">
        <v>3.9939713639788996</v>
      </c>
      <c r="L316" s="6">
        <f>1.6238/0.45436</f>
        <v>3.5738181177920589</v>
      </c>
      <c r="M316" s="6">
        <f>3.35*0.55</f>
        <v>1.8425000000000002</v>
      </c>
      <c r="N316" s="6">
        <f>3.05*0.5</f>
        <v>1.5249999999999999</v>
      </c>
      <c r="O316" s="6">
        <f>3.54*0.8174</f>
        <v>2.8935960000000001</v>
      </c>
      <c r="P316" s="6">
        <f>3.58*0.8174</f>
        <v>2.9262920000000001</v>
      </c>
      <c r="Q316" s="96">
        <f>5.12*0.764</f>
        <v>3.91168</v>
      </c>
    </row>
    <row r="317" spans="1:17" x14ac:dyDescent="0.2">
      <c r="A317" s="95" t="s">
        <v>346</v>
      </c>
      <c r="B317" s="6">
        <v>2.2213494809688585</v>
      </c>
      <c r="C317" s="6">
        <v>1.0745328719723184</v>
      </c>
      <c r="D317" s="6">
        <v>1.77</v>
      </c>
      <c r="E317" s="6">
        <f>3.4*0.55</f>
        <v>1.87</v>
      </c>
      <c r="F317" s="6">
        <v>1.56</v>
      </c>
      <c r="G317" s="6">
        <v>1.88</v>
      </c>
      <c r="H317" s="6">
        <v>1.73</v>
      </c>
      <c r="I317" s="6">
        <v>3.57</v>
      </c>
      <c r="J317" s="128">
        <v>2.4654463952185282</v>
      </c>
      <c r="K317" s="128">
        <v>4.2771759432200218</v>
      </c>
      <c r="L317" s="6">
        <f>1.5851/0.45436</f>
        <v>3.4886433664935295</v>
      </c>
      <c r="M317" s="6">
        <f>3.3*0.55</f>
        <v>1.8149999999999999</v>
      </c>
      <c r="N317" s="6">
        <f>3*0.5</f>
        <v>1.5</v>
      </c>
      <c r="O317" s="6" t="s">
        <v>132</v>
      </c>
      <c r="P317" s="6" t="s">
        <v>132</v>
      </c>
      <c r="Q317" s="96" t="s">
        <v>132</v>
      </c>
    </row>
    <row r="318" spans="1:17" ht="21" customHeight="1" x14ac:dyDescent="0.25">
      <c r="A318" s="102" t="s">
        <v>345</v>
      </c>
      <c r="B318" s="6">
        <v>2.247024221453287</v>
      </c>
      <c r="C318" s="6">
        <v>1.1022145328719724</v>
      </c>
      <c r="D318" s="6">
        <v>1.76</v>
      </c>
      <c r="E318" s="6">
        <f>3.4*0.55</f>
        <v>1.87</v>
      </c>
      <c r="F318" s="6">
        <v>1.55</v>
      </c>
      <c r="G318" s="6">
        <v>1.86</v>
      </c>
      <c r="H318" s="6">
        <v>1.71</v>
      </c>
      <c r="I318" s="6">
        <v>3.58</v>
      </c>
      <c r="J318" s="128">
        <v>2.4517087667161959</v>
      </c>
      <c r="K318" s="128">
        <v>4.2533432392273394</v>
      </c>
      <c r="L318" s="6">
        <f>1.6195/0.45436</f>
        <v>3.5643542565366668</v>
      </c>
      <c r="M318" s="6">
        <f>3.3*0.55</f>
        <v>1.8149999999999999</v>
      </c>
      <c r="N318" s="6">
        <f>3*0.5</f>
        <v>1.5</v>
      </c>
      <c r="O318" s="6" t="s">
        <v>132</v>
      </c>
      <c r="P318" s="6" t="s">
        <v>132</v>
      </c>
      <c r="Q318" s="96" t="s">
        <v>132</v>
      </c>
    </row>
    <row r="319" spans="1:17" x14ac:dyDescent="0.2">
      <c r="A319" s="95" t="s">
        <v>347</v>
      </c>
      <c r="B319" s="6">
        <v>2.1824287091885934</v>
      </c>
      <c r="C319" s="6">
        <v>1.1803967488634799</v>
      </c>
      <c r="D319" s="6">
        <v>1.76</v>
      </c>
      <c r="E319" s="6">
        <f>3.38*0.55</f>
        <v>1.859</v>
      </c>
      <c r="F319" s="6">
        <v>1.55</v>
      </c>
      <c r="G319" s="6">
        <v>1.93</v>
      </c>
      <c r="H319" s="6">
        <v>1.71</v>
      </c>
      <c r="I319" s="6">
        <v>3.62</v>
      </c>
      <c r="J319" s="128">
        <v>2.46</v>
      </c>
      <c r="K319" s="128">
        <v>4.28</v>
      </c>
      <c r="L319" s="6">
        <f>1.6594/0.45436</f>
        <v>3.6521700853948413</v>
      </c>
      <c r="M319" s="6">
        <f>3.3*0.55</f>
        <v>1.8149999999999999</v>
      </c>
      <c r="N319" s="6">
        <f>3*0.5</f>
        <v>1.5</v>
      </c>
      <c r="O319" s="6" t="s">
        <v>132</v>
      </c>
      <c r="P319" s="6" t="s">
        <v>132</v>
      </c>
      <c r="Q319" s="96" t="s">
        <v>132</v>
      </c>
    </row>
    <row r="320" spans="1:17" x14ac:dyDescent="0.2">
      <c r="A320" s="95" t="s">
        <v>348</v>
      </c>
      <c r="B320" s="6">
        <v>2.0672416162726774</v>
      </c>
      <c r="C320" s="6">
        <v>1.1397058823529413</v>
      </c>
      <c r="D320" s="6">
        <v>1.76</v>
      </c>
      <c r="E320" s="6">
        <f>3.36*0.55</f>
        <v>1.8480000000000001</v>
      </c>
      <c r="F320" s="6">
        <v>1.54</v>
      </c>
      <c r="G320" s="6">
        <v>2.0099999999999998</v>
      </c>
      <c r="H320" s="6">
        <v>1.7</v>
      </c>
      <c r="I320" s="6">
        <v>3.63</v>
      </c>
      <c r="J320" s="128">
        <v>2.4039999999999999</v>
      </c>
      <c r="K320" s="128">
        <v>4.16</v>
      </c>
      <c r="L320" s="6">
        <f>1.6967/0.45436</f>
        <v>3.7342635795404528</v>
      </c>
      <c r="M320" s="6">
        <f>3.3*0.55</f>
        <v>1.8149999999999999</v>
      </c>
      <c r="N320" s="6">
        <f>3*0.5</f>
        <v>1.5</v>
      </c>
      <c r="O320" s="6">
        <f>4.37*0.8212</f>
        <v>3.5886440000000004</v>
      </c>
      <c r="P320" s="6">
        <f>4.24*0.8212</f>
        <v>3.4818880000000005</v>
      </c>
      <c r="Q320" s="96">
        <f>4.9*0.764</f>
        <v>3.7436000000000003</v>
      </c>
    </row>
    <row r="321" spans="1:17" x14ac:dyDescent="0.2">
      <c r="A321" s="95" t="s">
        <v>349</v>
      </c>
      <c r="B321" s="6">
        <v>2.0873773079827029</v>
      </c>
      <c r="C321" s="6">
        <v>1.1376896149358227</v>
      </c>
      <c r="D321" s="6">
        <v>1.76</v>
      </c>
      <c r="E321" s="6">
        <f>3.35*0.55</f>
        <v>1.8425000000000002</v>
      </c>
      <c r="F321" s="6">
        <v>1.48</v>
      </c>
      <c r="G321" s="6">
        <v>2.0299999999999998</v>
      </c>
      <c r="H321" s="6">
        <v>1.72</v>
      </c>
      <c r="I321" s="6">
        <v>3.69</v>
      </c>
      <c r="J321" s="128">
        <v>2.4206041828040279</v>
      </c>
      <c r="K321" s="128">
        <v>4.144074360960496</v>
      </c>
      <c r="L321" s="6">
        <f>1.6317/0.45436</f>
        <v>3.5912052117263844</v>
      </c>
      <c r="M321" s="6">
        <f>3.3*0.55</f>
        <v>1.8149999999999999</v>
      </c>
      <c r="N321" s="6">
        <f>3*0.5</f>
        <v>1.5</v>
      </c>
      <c r="O321" s="6">
        <f>4.18*0.807</f>
        <v>3.3732600000000001</v>
      </c>
      <c r="P321" s="6">
        <f>4.23*0.807</f>
        <v>3.4136100000000007</v>
      </c>
      <c r="Q321" s="96">
        <f>4.82*0.7506</f>
        <v>3.6178920000000003</v>
      </c>
    </row>
    <row r="322" spans="1:17" x14ac:dyDescent="0.2">
      <c r="A322" s="95" t="s">
        <v>350</v>
      </c>
      <c r="B322" s="6">
        <v>2.1665295488824898</v>
      </c>
      <c r="C322" s="6">
        <v>1.0748663101604279</v>
      </c>
      <c r="D322" s="6">
        <v>1.76</v>
      </c>
      <c r="E322" s="6">
        <f>3.33*0.55</f>
        <v>1.8315000000000001</v>
      </c>
      <c r="F322" s="6">
        <v>1.44</v>
      </c>
      <c r="G322" s="6">
        <v>2.0499999999999998</v>
      </c>
      <c r="H322" s="6">
        <v>1.72</v>
      </c>
      <c r="I322" s="6">
        <v>3.56</v>
      </c>
      <c r="J322" s="128">
        <v>2.2000000000000002</v>
      </c>
      <c r="K322" s="128">
        <v>3.8250000000000002</v>
      </c>
      <c r="L322" s="6">
        <f>1.5944/0.45436</f>
        <v>3.5091117175807733</v>
      </c>
      <c r="M322" s="6">
        <f>3.2*0.55</f>
        <v>1.7600000000000002</v>
      </c>
      <c r="N322" s="6">
        <f>3.05*0.5</f>
        <v>1.5249999999999999</v>
      </c>
      <c r="O322" s="6">
        <f>4.28*0.7762</f>
        <v>3.322136</v>
      </c>
      <c r="P322" s="6">
        <f>4.31*0.7762</f>
        <v>3.3454219999999997</v>
      </c>
      <c r="Q322" s="96">
        <f>4.82*0.7259</f>
        <v>3.4988380000000001</v>
      </c>
    </row>
    <row r="323" spans="1:17" x14ac:dyDescent="0.2">
      <c r="A323" s="95" t="s">
        <v>351</v>
      </c>
      <c r="B323" s="6">
        <v>2.1794425087108018</v>
      </c>
      <c r="C323" s="6">
        <v>1.1459998633599784</v>
      </c>
      <c r="D323" s="6">
        <v>1.75</v>
      </c>
      <c r="E323" s="6">
        <f>3.28*0.55</f>
        <v>1.804</v>
      </c>
      <c r="F323" s="6">
        <v>1.4</v>
      </c>
      <c r="G323" s="6">
        <v>1.97</v>
      </c>
      <c r="H323" s="6">
        <v>1.7</v>
      </c>
      <c r="I323" s="6">
        <v>3.49</v>
      </c>
      <c r="J323" s="128">
        <v>2.2789999999999999</v>
      </c>
      <c r="K323" s="128">
        <v>3.92</v>
      </c>
      <c r="L323" s="6">
        <f>1.5936/0.45436</f>
        <v>3.5073509992076768</v>
      </c>
      <c r="M323" s="6">
        <f>3.25*0.55</f>
        <v>1.7875000000000001</v>
      </c>
      <c r="N323" s="6">
        <f>3.1*0.5</f>
        <v>1.55</v>
      </c>
      <c r="O323" s="6">
        <f>4.41*0.7793</f>
        <v>3.4367130000000001</v>
      </c>
      <c r="P323" s="6">
        <f>4.36*0.7793</f>
        <v>3.3977480000000004</v>
      </c>
      <c r="Q323" s="96">
        <f>4.72*0.7267</f>
        <v>3.430024</v>
      </c>
    </row>
    <row r="324" spans="1:17" x14ac:dyDescent="0.2">
      <c r="A324" s="95" t="s">
        <v>352</v>
      </c>
      <c r="B324" s="6">
        <v>2.2372004357298501</v>
      </c>
      <c r="C324" s="6">
        <v>1.1586328976034859</v>
      </c>
      <c r="D324" s="6">
        <v>1.72</v>
      </c>
      <c r="E324" s="6">
        <f>3.28*0.55</f>
        <v>1.804</v>
      </c>
      <c r="F324" s="6">
        <v>1.41</v>
      </c>
      <c r="G324" s="6">
        <v>1.89</v>
      </c>
      <c r="H324" s="6">
        <v>1.68</v>
      </c>
      <c r="I324" s="6">
        <v>3.37</v>
      </c>
      <c r="J324" s="128">
        <v>2.2927689594356262</v>
      </c>
      <c r="K324" s="128">
        <v>3.8800705467372136</v>
      </c>
      <c r="L324" s="6">
        <f>1.6028/0.45436</f>
        <v>3.5275992604982833</v>
      </c>
      <c r="M324" s="6">
        <f>3.2*0.55</f>
        <v>1.7600000000000002</v>
      </c>
      <c r="N324" s="6">
        <f>3.05*0.5</f>
        <v>1.5249999999999999</v>
      </c>
      <c r="O324" s="6">
        <f>4.34*0.775</f>
        <v>3.3635000000000002</v>
      </c>
      <c r="P324" s="6">
        <f>4.28*0.775</f>
        <v>3.3170000000000002</v>
      </c>
      <c r="Q324" s="96">
        <f>4.68*0.7224</f>
        <v>3.3808319999999998</v>
      </c>
    </row>
    <row r="325" spans="1:17" x14ac:dyDescent="0.2">
      <c r="A325" s="95" t="s">
        <v>353</v>
      </c>
      <c r="B325" s="6">
        <v>2.2705202312138728</v>
      </c>
      <c r="C325" s="6">
        <v>1.1852431145868754</v>
      </c>
      <c r="D325" s="6">
        <v>1.72</v>
      </c>
      <c r="E325" s="6">
        <f>3.28*0.55</f>
        <v>1.804</v>
      </c>
      <c r="F325" s="6">
        <v>1.4</v>
      </c>
      <c r="G325" s="6">
        <v>1.88</v>
      </c>
      <c r="H325" s="6">
        <v>1.68</v>
      </c>
      <c r="I325" s="6">
        <v>3.33</v>
      </c>
      <c r="J325" s="128">
        <v>2.2632311977715878</v>
      </c>
      <c r="K325" s="128">
        <v>3.8300835654596104</v>
      </c>
      <c r="L325" s="6">
        <f>1.6178/0.45436</f>
        <v>3.5606127299938373</v>
      </c>
      <c r="M325" s="6">
        <f>3.3*0.55</f>
        <v>1.8149999999999999</v>
      </c>
      <c r="N325" s="6">
        <f>3.05*0.5</f>
        <v>1.5249999999999999</v>
      </c>
      <c r="O325" s="6">
        <f>4.18*0.7787</f>
        <v>3.2549659999999996</v>
      </c>
      <c r="P325" s="6">
        <f>4.11*0.7787</f>
        <v>3.2004570000000001</v>
      </c>
      <c r="Q325" s="96">
        <f>4.66*0.753</f>
        <v>3.5089800000000002</v>
      </c>
    </row>
    <row r="326" spans="1:17" x14ac:dyDescent="0.2">
      <c r="A326" s="95" t="s">
        <v>354</v>
      </c>
      <c r="B326" s="6">
        <v>2.2393649501323023</v>
      </c>
      <c r="C326" s="6">
        <v>1.1234819187190446</v>
      </c>
      <c r="D326" s="6">
        <v>1.72</v>
      </c>
      <c r="E326" s="6">
        <v>1.8</v>
      </c>
      <c r="F326" s="6">
        <v>1.4</v>
      </c>
      <c r="G326" s="6">
        <v>1.87</v>
      </c>
      <c r="H326" s="6">
        <v>1.68</v>
      </c>
      <c r="I326" s="6">
        <v>3.37</v>
      </c>
      <c r="J326" s="128">
        <v>2.2377622377622379</v>
      </c>
      <c r="K326" s="128">
        <v>3.8111888111888117</v>
      </c>
      <c r="L326" s="6">
        <f>1.5943/0.45436</f>
        <v>3.508891627784136</v>
      </c>
      <c r="M326" s="6">
        <f>3.25*0.55</f>
        <v>1.7875000000000001</v>
      </c>
      <c r="N326" s="6">
        <f>3*0.5</f>
        <v>1.5</v>
      </c>
      <c r="O326" s="6">
        <f>4.17*0.7798</f>
        <v>3.2517659999999999</v>
      </c>
      <c r="P326" s="6">
        <f>4.06*0.7798</f>
        <v>3.165988</v>
      </c>
      <c r="Q326" s="96">
        <f>4.58*0.753</f>
        <v>3.4487399999999999</v>
      </c>
    </row>
    <row r="327" spans="1:17" x14ac:dyDescent="0.2">
      <c r="A327" s="95" t="s">
        <v>355</v>
      </c>
      <c r="B327" s="6">
        <v>2.1784651791751184</v>
      </c>
      <c r="C327" s="6">
        <v>1.1895875591615959</v>
      </c>
      <c r="D327" s="6">
        <v>1.7</v>
      </c>
      <c r="E327" s="6">
        <f>3.23*0.55</f>
        <v>1.7765000000000002</v>
      </c>
      <c r="F327" s="6">
        <v>1.39</v>
      </c>
      <c r="G327" s="6">
        <v>1.82</v>
      </c>
      <c r="H327" s="6">
        <f>3.24*0.5</f>
        <v>1.62</v>
      </c>
      <c r="I327" s="6">
        <v>3.17</v>
      </c>
      <c r="J327" s="128">
        <v>2.2442244224422443</v>
      </c>
      <c r="K327" s="128">
        <v>3.6633663366336635</v>
      </c>
      <c r="L327" s="6">
        <f>1.5844/0.45436</f>
        <v>3.4871027379170703</v>
      </c>
      <c r="M327" s="6">
        <f>3.2*0.55</f>
        <v>1.7600000000000002</v>
      </c>
      <c r="N327" s="6">
        <f>2.95*0.5</f>
        <v>1.4750000000000001</v>
      </c>
      <c r="O327" s="6">
        <f>4.03*0.7768</f>
        <v>3.1305040000000002</v>
      </c>
      <c r="P327" s="6">
        <f>3.96*0.7768</f>
        <v>3.0761280000000002</v>
      </c>
      <c r="Q327" s="96">
        <f>4.58*0.747</f>
        <v>3.4212600000000002</v>
      </c>
    </row>
    <row r="328" spans="1:17" x14ac:dyDescent="0.2">
      <c r="A328" s="95" t="s">
        <v>356</v>
      </c>
      <c r="B328" s="6">
        <v>2.1935321039170819</v>
      </c>
      <c r="C328" s="6">
        <v>1.1090321712208913</v>
      </c>
      <c r="D328" s="6">
        <v>1.69</v>
      </c>
      <c r="E328" s="6">
        <f>3.2*0.55</f>
        <v>1.7600000000000002</v>
      </c>
      <c r="F328" s="6">
        <v>1.38</v>
      </c>
      <c r="G328" s="6">
        <v>1.72</v>
      </c>
      <c r="H328" s="6">
        <f>3.1*0.5</f>
        <v>1.55</v>
      </c>
      <c r="I328" s="6">
        <v>2.97</v>
      </c>
      <c r="J328" s="128">
        <v>2.1800000000000002</v>
      </c>
      <c r="K328" s="128">
        <v>3.37</v>
      </c>
      <c r="L328" s="6"/>
      <c r="M328" s="6">
        <f>3.2*0.55</f>
        <v>1.7600000000000002</v>
      </c>
      <c r="N328" s="6">
        <f>2.95*0.5</f>
        <v>1.4750000000000001</v>
      </c>
      <c r="O328" s="6">
        <f>4*0.7638</f>
        <v>3.0552000000000001</v>
      </c>
      <c r="P328" s="6">
        <f>4.1*0.7638</f>
        <v>3.13158</v>
      </c>
      <c r="Q328" s="96"/>
    </row>
    <row r="329" spans="1:17" x14ac:dyDescent="0.2">
      <c r="A329" s="95" t="s">
        <v>357</v>
      </c>
      <c r="B329" s="6">
        <v>2.1866322355624117</v>
      </c>
      <c r="C329" s="6">
        <v>1.0866590649942989</v>
      </c>
      <c r="D329" s="6">
        <v>1.64</v>
      </c>
      <c r="E329" s="6">
        <f>3.1*0.55</f>
        <v>1.7050000000000003</v>
      </c>
      <c r="F329" s="6">
        <v>1.34</v>
      </c>
      <c r="G329" s="6">
        <v>1.65</v>
      </c>
      <c r="H329" s="6">
        <f>2.97*0.5</f>
        <v>1.4850000000000001</v>
      </c>
      <c r="I329" s="6">
        <v>3</v>
      </c>
      <c r="J329" s="128">
        <v>2.16</v>
      </c>
      <c r="K329" s="128">
        <v>3.34</v>
      </c>
      <c r="L329" s="6">
        <f>1.6126/0.45436</f>
        <v>3.5491680605687121</v>
      </c>
      <c r="M329" s="6">
        <f>3.2*0.55</f>
        <v>1.7600000000000002</v>
      </c>
      <c r="N329" s="6">
        <f>2.9*0.5</f>
        <v>1.45</v>
      </c>
      <c r="O329" s="6">
        <f>3.94*0.772</f>
        <v>3.0416799999999999</v>
      </c>
      <c r="P329" s="6">
        <f>3.95*0.772</f>
        <v>3.0494000000000003</v>
      </c>
      <c r="Q329" s="96"/>
    </row>
    <row r="330" spans="1:17" x14ac:dyDescent="0.2">
      <c r="A330" s="95" t="s">
        <v>358</v>
      </c>
      <c r="B330" s="6">
        <v>2.212733957219251</v>
      </c>
      <c r="C330" s="6">
        <v>1.0919117647058822</v>
      </c>
      <c r="D330" s="6">
        <v>1.62</v>
      </c>
      <c r="E330" s="6">
        <f>3.05*0.55</f>
        <v>1.6775</v>
      </c>
      <c r="F330" s="6">
        <v>1.32</v>
      </c>
      <c r="G330" s="6">
        <v>1.7</v>
      </c>
      <c r="H330" s="6">
        <f>3.07*0.5</f>
        <v>1.5349999999999999</v>
      </c>
      <c r="I330" s="6">
        <v>3.07</v>
      </c>
      <c r="J330" s="128">
        <v>2.1957340025094103</v>
      </c>
      <c r="K330" s="128">
        <v>3.2308657465495609</v>
      </c>
      <c r="L330" s="6">
        <f>1.6355/0.45436</f>
        <v>3.5995686239985916</v>
      </c>
      <c r="M330" s="6">
        <f>3.15*0.55</f>
        <v>1.7325000000000002</v>
      </c>
      <c r="N330" s="6">
        <f>2.9*0.5</f>
        <v>1.45</v>
      </c>
      <c r="O330" s="6">
        <f>3.91*0.7829</f>
        <v>3.0611390000000003</v>
      </c>
      <c r="P330" s="6">
        <f>4.07*0.7829</f>
        <v>3.1864030000000003</v>
      </c>
      <c r="Q330" s="96">
        <f>4.7*0.7587</f>
        <v>3.5658900000000004</v>
      </c>
    </row>
    <row r="331" spans="1:17" x14ac:dyDescent="0.2">
      <c r="A331" s="95" t="s">
        <v>359</v>
      </c>
      <c r="B331" s="6">
        <v>2.187566844919786</v>
      </c>
      <c r="C331" s="6">
        <v>1.0093582887700534</v>
      </c>
      <c r="D331" s="6">
        <v>1.56</v>
      </c>
      <c r="E331" s="6">
        <f>2.95*0.55</f>
        <v>1.6225000000000003</v>
      </c>
      <c r="F331" s="6">
        <v>1.27</v>
      </c>
      <c r="G331" s="6">
        <v>1.67</v>
      </c>
      <c r="H331" s="6">
        <f>3.01*0.5</f>
        <v>1.5049999999999999</v>
      </c>
      <c r="I331" s="6">
        <v>3.16</v>
      </c>
      <c r="J331" s="128">
        <v>2.19</v>
      </c>
      <c r="K331" s="128">
        <v>3.22</v>
      </c>
      <c r="L331" s="6">
        <f>1.6557/0.45436</f>
        <v>3.6440267629192711</v>
      </c>
      <c r="M331" s="6">
        <f>3*0.55</f>
        <v>1.6500000000000001</v>
      </c>
      <c r="N331" s="6">
        <f>2.85*0.5</f>
        <v>1.425</v>
      </c>
      <c r="O331" s="6">
        <f>3.95*0.76</f>
        <v>3.0020000000000002</v>
      </c>
      <c r="P331" s="6">
        <f>4.06*0.76</f>
        <v>3.0855999999999999</v>
      </c>
      <c r="Q331" s="96">
        <f>4.71*0.7451</f>
        <v>3.5094209999999997</v>
      </c>
    </row>
    <row r="332" spans="1:17" x14ac:dyDescent="0.2">
      <c r="A332" s="95" t="s">
        <v>360</v>
      </c>
      <c r="B332" s="6">
        <v>2.2129264872804968</v>
      </c>
      <c r="C332" s="6">
        <v>0.96761701275288781</v>
      </c>
      <c r="D332" s="6">
        <v>1.55</v>
      </c>
      <c r="E332" s="6">
        <f>2.95*0.55</f>
        <v>1.6225000000000003</v>
      </c>
      <c r="F332" s="6">
        <v>1.27</v>
      </c>
      <c r="G332" s="6">
        <v>1.69</v>
      </c>
      <c r="H332" s="6">
        <f>3.03*0.5</f>
        <v>1.5149999999999999</v>
      </c>
      <c r="I332" s="6">
        <v>3.21</v>
      </c>
      <c r="J332" s="128">
        <v>2.6890482398956976</v>
      </c>
      <c r="K332" s="128">
        <v>3.5691003911342891</v>
      </c>
      <c r="L332" s="6">
        <f>1.6757/0.45436</f>
        <v>3.6880447222466768</v>
      </c>
      <c r="M332" s="6">
        <f>3.1*0.55</f>
        <v>1.7050000000000003</v>
      </c>
      <c r="N332" s="6">
        <f>2.8*0.5</f>
        <v>1.4</v>
      </c>
      <c r="O332" s="6">
        <f>4.24*0.77</f>
        <v>3.2648000000000001</v>
      </c>
      <c r="P332" s="6">
        <f>4.25*0.77</f>
        <v>3.2725</v>
      </c>
      <c r="Q332" s="96">
        <f>4.76*0.7547</f>
        <v>3.5923720000000001</v>
      </c>
    </row>
    <row r="333" spans="1:17" x14ac:dyDescent="0.2">
      <c r="A333" s="95" t="s">
        <v>361</v>
      </c>
      <c r="B333" s="6">
        <v>2.1923256278728931</v>
      </c>
      <c r="C333" s="6">
        <v>0.96162813936446601</v>
      </c>
      <c r="D333" s="6">
        <v>1.55</v>
      </c>
      <c r="E333" s="6">
        <f>2.95*0.55</f>
        <v>1.6225000000000003</v>
      </c>
      <c r="F333" s="6">
        <v>1.28</v>
      </c>
      <c r="G333" s="6">
        <v>1.73</v>
      </c>
      <c r="H333" s="6">
        <f>3.09*0.5</f>
        <v>1.5449999999999999</v>
      </c>
      <c r="I333" s="6">
        <v>3.28</v>
      </c>
      <c r="J333" s="128">
        <v>2.63</v>
      </c>
      <c r="K333" s="128">
        <v>3.48</v>
      </c>
      <c r="L333" s="6">
        <f>1.6434/0.45436</f>
        <v>3.6169557179329166</v>
      </c>
      <c r="M333" s="6">
        <f>3*0.55</f>
        <v>1.6500000000000001</v>
      </c>
      <c r="N333" s="6">
        <f>2.8*0.5</f>
        <v>1.4</v>
      </c>
      <c r="O333" s="6">
        <f>4.27*0.779</f>
        <v>3.3263299999999996</v>
      </c>
      <c r="P333" s="6">
        <f>4.34*0.779</f>
        <v>3.3808600000000002</v>
      </c>
      <c r="Q333" s="96">
        <f>4.85*0.7662</f>
        <v>3.7160699999999998</v>
      </c>
    </row>
    <row r="334" spans="1:17" x14ac:dyDescent="0.2">
      <c r="A334" s="95" t="s">
        <v>362</v>
      </c>
      <c r="B334" s="6">
        <v>2.1585373968591961</v>
      </c>
      <c r="C334" s="6">
        <v>1.0032605802501997</v>
      </c>
      <c r="D334" s="6">
        <v>1.57</v>
      </c>
      <c r="E334" s="6">
        <f>3*0.55</f>
        <v>1.6500000000000001</v>
      </c>
      <c r="F334" s="6">
        <v>1.3</v>
      </c>
      <c r="G334" s="6">
        <v>1.75</v>
      </c>
      <c r="H334" s="6">
        <f>3.14*0.5</f>
        <v>1.57</v>
      </c>
      <c r="I334" s="6">
        <v>3.39</v>
      </c>
      <c r="J334" s="128">
        <v>2.67</v>
      </c>
      <c r="K334" s="128">
        <v>3.58</v>
      </c>
      <c r="L334" s="6">
        <f>1.6165/0.45436</f>
        <v>3.5577515626375562</v>
      </c>
      <c r="M334" s="6">
        <f>2.9*0.55</f>
        <v>1.595</v>
      </c>
      <c r="N334" s="6">
        <f>2.7*0.5</f>
        <v>1.35</v>
      </c>
      <c r="O334" s="6">
        <f>4.36*0.777</f>
        <v>3.3877200000000003</v>
      </c>
      <c r="P334" s="6">
        <f>4.46*0.777</f>
        <v>3.4654199999999999</v>
      </c>
      <c r="Q334" s="96">
        <f>4.88*0.7589</f>
        <v>3.7034319999999998</v>
      </c>
    </row>
    <row r="335" spans="1:17" x14ac:dyDescent="0.2">
      <c r="A335" s="95" t="s">
        <v>363</v>
      </c>
      <c r="B335" s="6">
        <v>2.139315387171818</v>
      </c>
      <c r="C335" s="6">
        <v>0.94835493519441694</v>
      </c>
      <c r="D335" s="6">
        <v>1.58</v>
      </c>
      <c r="E335" s="6">
        <f>3.05*0.55</f>
        <v>1.6775</v>
      </c>
      <c r="F335" s="6">
        <v>1.34</v>
      </c>
      <c r="G335" s="6">
        <v>1.8</v>
      </c>
      <c r="H335" s="6">
        <f>3.23*0.5</f>
        <v>1.615</v>
      </c>
      <c r="I335" s="6">
        <v>3.3</v>
      </c>
      <c r="J335" s="128">
        <v>2.6245847176079735</v>
      </c>
      <c r="K335" s="128">
        <v>3.521594684385382</v>
      </c>
      <c r="L335" s="6">
        <f>1.5918/0.45436</f>
        <v>3.5033893828682108</v>
      </c>
      <c r="M335" s="6">
        <f>2.9*0.55</f>
        <v>1.595</v>
      </c>
      <c r="N335" s="6">
        <f>2.7*0.5</f>
        <v>1.35</v>
      </c>
      <c r="O335" s="6">
        <f>4.24*0.7905</f>
        <v>3.3517200000000003</v>
      </c>
      <c r="P335" s="6">
        <f>4.43*0.7905</f>
        <v>3.5019149999999999</v>
      </c>
      <c r="Q335" s="96">
        <f>4.92*0.763</f>
        <v>3.7539600000000002</v>
      </c>
    </row>
    <row r="336" spans="1:17" x14ac:dyDescent="0.2">
      <c r="A336" s="95" t="s">
        <v>364</v>
      </c>
      <c r="B336" s="6">
        <v>2.2876664191375378</v>
      </c>
      <c r="C336" s="6">
        <v>1.062761894658675</v>
      </c>
      <c r="D336" s="6">
        <v>1.58</v>
      </c>
      <c r="E336" s="6">
        <f>3.08*0.55</f>
        <v>1.6940000000000002</v>
      </c>
      <c r="F336" s="6">
        <v>1.34</v>
      </c>
      <c r="G336" s="6">
        <v>1.73</v>
      </c>
      <c r="H336" s="6">
        <f>3.11*0.5</f>
        <v>1.5549999999999999</v>
      </c>
      <c r="I336" s="6">
        <v>3.33</v>
      </c>
      <c r="J336" s="128">
        <v>2.699530516431925</v>
      </c>
      <c r="K336" s="128">
        <v>3.6552649228705567</v>
      </c>
      <c r="L336" s="6">
        <f>1.6059/0.45436</f>
        <v>3.5344220441940317</v>
      </c>
      <c r="M336" s="6">
        <f>2.9*0.55</f>
        <v>1.595</v>
      </c>
      <c r="N336" s="6">
        <f>2.7*0.5</f>
        <v>1.35</v>
      </c>
      <c r="O336" s="6">
        <f>4.75*0.7909</f>
        <v>3.7567750000000002</v>
      </c>
      <c r="P336" s="6">
        <f>4.64*0.7909</f>
        <v>3.6697760000000001</v>
      </c>
      <c r="Q336" s="96">
        <f>4.9*0.7443</f>
        <v>3.6470700000000003</v>
      </c>
    </row>
    <row r="337" spans="1:17" x14ac:dyDescent="0.2">
      <c r="A337" s="95" t="s">
        <v>365</v>
      </c>
      <c r="B337" s="6">
        <v>2.1609054857898213</v>
      </c>
      <c r="C337" s="6">
        <v>1.0325842696629213</v>
      </c>
      <c r="D337" s="6">
        <v>1.6</v>
      </c>
      <c r="E337" s="6">
        <f>3.15*0.55</f>
        <v>1.7325000000000002</v>
      </c>
      <c r="F337" s="6">
        <v>1.35</v>
      </c>
      <c r="G337" s="6">
        <v>1.74</v>
      </c>
      <c r="H337" s="6">
        <f>3.16*0.5</f>
        <v>1.58</v>
      </c>
      <c r="I337" s="6">
        <v>3.3</v>
      </c>
      <c r="J337" s="128">
        <v>2.4699599465954609</v>
      </c>
      <c r="K337" s="128">
        <v>3.5714285714285712</v>
      </c>
      <c r="L337" s="6">
        <f>1.6193/0.45436</f>
        <v>3.563914076943393</v>
      </c>
      <c r="M337" s="63">
        <f>3.05*0.55</f>
        <v>1.6775</v>
      </c>
      <c r="N337" s="6">
        <f>2.7*0.5</f>
        <v>1.35</v>
      </c>
      <c r="O337" s="6">
        <f>4.54*0.8067</f>
        <v>3.6624179999999997</v>
      </c>
      <c r="P337" s="6">
        <f>4.87*0.8067</f>
        <v>3.9286289999999999</v>
      </c>
      <c r="Q337" s="96">
        <f>4.9*0.749</f>
        <v>3.6701000000000001</v>
      </c>
    </row>
    <row r="338" spans="1:17" x14ac:dyDescent="0.2">
      <c r="A338" s="95" t="s">
        <v>366</v>
      </c>
      <c r="B338" s="6">
        <v>2.1569176998153523</v>
      </c>
      <c r="C338" s="6">
        <v>0.94961751516750204</v>
      </c>
      <c r="D338" s="6">
        <v>1.6</v>
      </c>
      <c r="E338" s="6">
        <f>3.15*0.55</f>
        <v>1.7325000000000002</v>
      </c>
      <c r="F338" s="6">
        <v>1.36</v>
      </c>
      <c r="G338" s="6">
        <v>1.78</v>
      </c>
      <c r="H338" s="6">
        <f>3.19*0.5</f>
        <v>1.595</v>
      </c>
      <c r="I338" s="6">
        <v>3.18</v>
      </c>
      <c r="J338" s="128">
        <v>2.3963730569948187</v>
      </c>
      <c r="K338" s="128">
        <v>3.400259067357513</v>
      </c>
      <c r="L338" s="6">
        <f>1.608/0.45436</f>
        <v>3.5390439299234089</v>
      </c>
      <c r="M338" s="63">
        <f>3.05*0.55</f>
        <v>1.6775</v>
      </c>
      <c r="N338" s="6">
        <f>2.8*0.5</f>
        <v>1.4</v>
      </c>
      <c r="O338" s="6">
        <f>4.62*0.789</f>
        <v>3.6451800000000003</v>
      </c>
      <c r="P338" s="6">
        <f>4.84*0.789</f>
        <v>3.8187600000000002</v>
      </c>
      <c r="Q338" s="96">
        <f>4.86*0.7321</f>
        <v>3.5580060000000002</v>
      </c>
    </row>
    <row r="339" spans="1:17" x14ac:dyDescent="0.2">
      <c r="A339" s="95" t="s">
        <v>367</v>
      </c>
      <c r="B339" s="6">
        <v>2.2272009474930918</v>
      </c>
      <c r="C339" s="6">
        <v>0.9940123700486907</v>
      </c>
      <c r="D339" s="6">
        <v>1.61</v>
      </c>
      <c r="E339" s="6">
        <f>3.2*0.55</f>
        <v>1.7600000000000002</v>
      </c>
      <c r="F339" s="6">
        <v>1.37</v>
      </c>
      <c r="G339" s="6">
        <v>1.74</v>
      </c>
      <c r="H339" s="6">
        <f>3.08*0.5</f>
        <v>1.54</v>
      </c>
      <c r="I339" s="6">
        <v>3.07</v>
      </c>
      <c r="J339" s="128">
        <v>2.3233908948194664</v>
      </c>
      <c r="K339" s="128">
        <v>3.2967032967032965</v>
      </c>
      <c r="L339" s="6">
        <f>1.5992/0.45436</f>
        <v>3.5196760278193504</v>
      </c>
      <c r="M339" s="63">
        <f>3.07*0.55</f>
        <v>1.6885000000000001</v>
      </c>
      <c r="N339" s="6">
        <f>2.82*0.5</f>
        <v>1.41</v>
      </c>
      <c r="O339" s="6">
        <f>4.81*0.764</f>
        <v>3.6748399999999997</v>
      </c>
      <c r="P339" s="6">
        <f>4.69*0.764</f>
        <v>3.5831600000000003</v>
      </c>
      <c r="Q339" s="96">
        <f>4.84*0.7168</f>
        <v>3.469312</v>
      </c>
    </row>
    <row r="340" spans="1:17" x14ac:dyDescent="0.2">
      <c r="A340" s="95" t="s">
        <v>368</v>
      </c>
      <c r="B340" s="6">
        <v>2.2803462522132598</v>
      </c>
      <c r="C340" s="6">
        <v>1.0234113712374582</v>
      </c>
      <c r="D340" s="6">
        <v>1.62</v>
      </c>
      <c r="E340" s="6">
        <f>3.23*0.55</f>
        <v>1.7765000000000002</v>
      </c>
      <c r="F340" s="6">
        <v>1.38</v>
      </c>
      <c r="G340" s="6">
        <v>1.75</v>
      </c>
      <c r="H340" s="6">
        <f>3.11*0.5</f>
        <v>1.5549999999999999</v>
      </c>
      <c r="I340" s="6">
        <v>3.12</v>
      </c>
      <c r="J340" s="128">
        <v>2.35</v>
      </c>
      <c r="K340" s="128">
        <v>3.33</v>
      </c>
      <c r="L340" s="6">
        <f>1.5942/0.45436</f>
        <v>3.5086715379874991</v>
      </c>
      <c r="M340" s="63">
        <f>3.05*0.55</f>
        <v>1.6775</v>
      </c>
      <c r="N340" s="6">
        <f>2.8*0.5</f>
        <v>1.4</v>
      </c>
      <c r="O340" s="6">
        <f>4.61*0.767</f>
        <v>3.5358700000000005</v>
      </c>
      <c r="P340" s="6">
        <f>5.09*0.767</f>
        <v>3.9040300000000001</v>
      </c>
      <c r="Q340" s="96">
        <f>4.8*0.7118</f>
        <v>3.4166399999999997</v>
      </c>
    </row>
    <row r="341" spans="1:17" x14ac:dyDescent="0.2">
      <c r="A341" s="95" t="s">
        <v>369</v>
      </c>
      <c r="B341" s="6">
        <v>2.2536274509803924</v>
      </c>
      <c r="C341" s="6">
        <v>0.98196078431372558</v>
      </c>
      <c r="D341" s="6">
        <v>1.62</v>
      </c>
      <c r="E341" s="6">
        <f>3.25*0.55</f>
        <v>1.7875000000000001</v>
      </c>
      <c r="F341" s="6">
        <v>1.4</v>
      </c>
      <c r="G341" s="6">
        <v>1.77</v>
      </c>
      <c r="H341" s="6">
        <f>3.16*0.5</f>
        <v>1.58</v>
      </c>
      <c r="I341" s="6">
        <v>3.16</v>
      </c>
      <c r="J341" s="128">
        <v>2.4719101123595504</v>
      </c>
      <c r="K341" s="128">
        <v>3.4670947030497592</v>
      </c>
      <c r="L341" s="6">
        <f>1.5559/0.45436</f>
        <v>3.4243771458755177</v>
      </c>
      <c r="M341" s="63">
        <f>3*0.55</f>
        <v>1.6500000000000001</v>
      </c>
      <c r="N341" s="6">
        <f>2.8*0.5</f>
        <v>1.4</v>
      </c>
      <c r="O341" s="6">
        <f>4.83*0.7733</f>
        <v>3.735039</v>
      </c>
      <c r="P341" s="6">
        <f>4.77*0.7733</f>
        <v>3.6886409999999996</v>
      </c>
      <c r="Q341" s="96">
        <f>4.83*0.6996</f>
        <v>3.3790680000000002</v>
      </c>
    </row>
    <row r="342" spans="1:17" x14ac:dyDescent="0.2">
      <c r="A342" s="95" t="s">
        <v>370</v>
      </c>
      <c r="B342" s="6">
        <v>2.1974370679535675</v>
      </c>
      <c r="C342" s="6">
        <v>0.94254597626190162</v>
      </c>
      <c r="D342" s="6">
        <v>1.62</v>
      </c>
      <c r="E342" s="6">
        <f>3.25*0.55</f>
        <v>1.7875000000000001</v>
      </c>
      <c r="F342" s="6">
        <v>1.42</v>
      </c>
      <c r="G342" s="6">
        <v>1.78</v>
      </c>
      <c r="H342" s="6">
        <f>3.16*0.5</f>
        <v>1.58</v>
      </c>
      <c r="I342" s="6">
        <v>3.12</v>
      </c>
      <c r="J342" s="128">
        <v>2.58</v>
      </c>
      <c r="K342" s="128">
        <v>3.51</v>
      </c>
      <c r="L342" s="6">
        <f>1.5348/0.45436</f>
        <v>3.3779381987851043</v>
      </c>
      <c r="M342" s="63">
        <f>3*0.55</f>
        <v>1.6500000000000001</v>
      </c>
      <c r="N342" s="6">
        <f>2.8*0.5</f>
        <v>1.4</v>
      </c>
      <c r="O342" s="6">
        <f>4.49*0.7799</f>
        <v>3.5017510000000005</v>
      </c>
      <c r="P342" s="6">
        <f>5.03*0.7799</f>
        <v>3.9228970000000003</v>
      </c>
      <c r="Q342" s="96">
        <f>4.93*0.6934</f>
        <v>3.4184619999999999</v>
      </c>
    </row>
    <row r="343" spans="1:17" x14ac:dyDescent="0.2">
      <c r="A343" s="95" t="s">
        <v>371</v>
      </c>
      <c r="B343" s="6">
        <v>2.273783185840708</v>
      </c>
      <c r="C343" s="6">
        <v>0.95991671004685064</v>
      </c>
      <c r="D343" s="3">
        <v>1.62</v>
      </c>
      <c r="E343" s="6">
        <f>3.25*0.55</f>
        <v>1.7875000000000001</v>
      </c>
      <c r="F343" s="3">
        <v>1.43</v>
      </c>
      <c r="G343" s="3">
        <v>1.87</v>
      </c>
      <c r="H343" s="6">
        <f>3.27*0.5</f>
        <v>1.635</v>
      </c>
      <c r="I343" s="3">
        <v>3.13</v>
      </c>
      <c r="J343" s="128">
        <v>2.5559105431309903</v>
      </c>
      <c r="K343" s="128">
        <v>3.4824281150159746</v>
      </c>
      <c r="L343" s="6">
        <f>1.5024/0.45436</f>
        <v>3.3066291046747072</v>
      </c>
      <c r="M343" s="63">
        <f>3*0.55</f>
        <v>1.6500000000000001</v>
      </c>
      <c r="N343" s="6">
        <f>2.8*0.5</f>
        <v>1.4</v>
      </c>
      <c r="O343" s="6">
        <f>4.63*0.774</f>
        <v>3.5836199999999998</v>
      </c>
      <c r="P343" s="6">
        <f>5.19*0.774</f>
        <v>4.0170600000000007</v>
      </c>
      <c r="Q343" s="96">
        <f>5.01*0.6907</f>
        <v>3.4604069999999996</v>
      </c>
    </row>
    <row r="344" spans="1:17" x14ac:dyDescent="0.2">
      <c r="A344" s="95" t="s">
        <v>372</v>
      </c>
      <c r="B344" s="6">
        <v>2.2513634592910008</v>
      </c>
      <c r="C344" s="6">
        <v>1.093169718218413</v>
      </c>
      <c r="D344" s="3" t="s">
        <v>35</v>
      </c>
      <c r="E344" s="6">
        <f>3.3*0.55</f>
        <v>1.8149999999999999</v>
      </c>
      <c r="F344" s="3">
        <v>1.45</v>
      </c>
      <c r="G344" s="3">
        <v>1.89</v>
      </c>
      <c r="H344" s="6">
        <f>3.33*0.5</f>
        <v>1.665</v>
      </c>
      <c r="I344" s="3">
        <v>3.07</v>
      </c>
      <c r="J344" s="128">
        <v>2.6466836734693877</v>
      </c>
      <c r="K344" s="128">
        <v>3.4598214285714284</v>
      </c>
      <c r="L344" s="6">
        <f>1.4879/0.45436</f>
        <v>3.2747160841623382</v>
      </c>
      <c r="M344" s="63">
        <f>3*0.55</f>
        <v>1.6500000000000001</v>
      </c>
      <c r="N344" s="6">
        <f>2.85*0.5</f>
        <v>1.425</v>
      </c>
      <c r="O344" s="6">
        <f>4.84*0.7633</f>
        <v>3.694372</v>
      </c>
      <c r="P344" s="6">
        <f>5.09*0.7633</f>
        <v>3.8851969999999998</v>
      </c>
      <c r="Q344" s="96">
        <f>5.13*0.6725</f>
        <v>3.4499249999999999</v>
      </c>
    </row>
    <row r="345" spans="1:17" x14ac:dyDescent="0.2">
      <c r="A345" s="95" t="s">
        <v>373</v>
      </c>
      <c r="B345" s="6">
        <v>2.379308110909562</v>
      </c>
      <c r="C345" s="6">
        <v>1.1428478880538999</v>
      </c>
      <c r="D345" s="3" t="s">
        <v>35</v>
      </c>
      <c r="E345" s="6">
        <f>3.35*0.55</f>
        <v>1.8425000000000002</v>
      </c>
      <c r="F345" s="6">
        <v>1.5</v>
      </c>
      <c r="G345" s="3">
        <v>1.86</v>
      </c>
      <c r="H345" s="6">
        <f>3.29*0.5</f>
        <v>1.645</v>
      </c>
      <c r="I345" s="3">
        <v>2.99</v>
      </c>
      <c r="J345" s="128">
        <v>2.62</v>
      </c>
      <c r="K345" s="128">
        <v>3.43</v>
      </c>
      <c r="L345" s="6">
        <f>1.5135/0.45436</f>
        <v>3.3310590721014175</v>
      </c>
      <c r="M345" s="63">
        <f>3.05*0.55</f>
        <v>1.6775</v>
      </c>
      <c r="N345" s="6">
        <f>2.75*0.5</f>
        <v>1.375</v>
      </c>
      <c r="O345" s="6">
        <f>4.95*0.7416</f>
        <v>3.6709200000000002</v>
      </c>
      <c r="P345" s="6">
        <f>5.35*0.7416</f>
        <v>3.9675599999999998</v>
      </c>
      <c r="Q345" s="96">
        <f>5.24*0.6692</f>
        <v>3.5066080000000004</v>
      </c>
    </row>
    <row r="346" spans="1:17" x14ac:dyDescent="0.2">
      <c r="A346" s="95" t="s">
        <v>374</v>
      </c>
      <c r="B346" s="6">
        <v>2.471040723981901</v>
      </c>
      <c r="C346" s="6">
        <v>1.1594053005817713</v>
      </c>
      <c r="D346" s="3" t="s">
        <v>35</v>
      </c>
      <c r="E346" s="6">
        <f>3.4*0.55</f>
        <v>1.87</v>
      </c>
      <c r="F346" s="3">
        <v>1.53</v>
      </c>
      <c r="G346" s="3">
        <v>1.87</v>
      </c>
      <c r="H346" s="6">
        <f>3.33*0.5</f>
        <v>1.665</v>
      </c>
      <c r="I346" s="3">
        <v>2.98</v>
      </c>
      <c r="J346" s="128">
        <v>2.5532581453634084</v>
      </c>
      <c r="K346" s="128">
        <v>3.3834586466165413</v>
      </c>
      <c r="L346" s="6">
        <f>1.51/0.45436</f>
        <v>3.3233559292191215</v>
      </c>
      <c r="M346" s="63">
        <f>3.05*0.55</f>
        <v>1.6775</v>
      </c>
      <c r="N346" s="6">
        <f>2.8*0.5</f>
        <v>1.4</v>
      </c>
      <c r="O346" s="6">
        <f>5.18*0.7409</f>
        <v>3.8378619999999999</v>
      </c>
      <c r="P346" s="6">
        <f>5.4*0.7409</f>
        <v>4.0008600000000003</v>
      </c>
      <c r="Q346" s="96">
        <f>5.29*0.6515</f>
        <v>3.4464349999999997</v>
      </c>
    </row>
    <row r="347" spans="1:17" x14ac:dyDescent="0.2">
      <c r="A347" s="95" t="s">
        <v>375</v>
      </c>
      <c r="B347" s="6">
        <v>2.1762125902992779</v>
      </c>
      <c r="C347" s="6">
        <v>1.0303792569659445</v>
      </c>
      <c r="D347" s="3" t="s">
        <v>35</v>
      </c>
      <c r="E347" s="6">
        <f>3.6*0.55</f>
        <v>1.9800000000000002</v>
      </c>
      <c r="F347" s="3">
        <v>1.65</v>
      </c>
      <c r="G347" s="3">
        <v>1.91</v>
      </c>
      <c r="H347" s="6">
        <f>3.27*0.5</f>
        <v>1.635</v>
      </c>
      <c r="I347" s="3">
        <v>2.81</v>
      </c>
      <c r="J347" s="128">
        <v>2.4037025977903852</v>
      </c>
      <c r="K347" s="128">
        <v>3.1949835771872195</v>
      </c>
      <c r="L347" s="6">
        <f>1.4796/0.45436</f>
        <v>3.2564486310414651</v>
      </c>
      <c r="M347" s="63">
        <f>3.05*0.55</f>
        <v>1.6775</v>
      </c>
      <c r="N347" s="6">
        <f>2.8*0.5</f>
        <v>1.4</v>
      </c>
      <c r="O347" s="6">
        <f>5.11*0.7368</f>
        <v>3.7650480000000002</v>
      </c>
      <c r="P347" s="6">
        <f>5.59*0.7368</f>
        <v>4.1187120000000004</v>
      </c>
      <c r="Q347" s="96">
        <f>5.44*0.6642</f>
        <v>3.6132480000000005</v>
      </c>
    </row>
    <row r="348" spans="1:17" x14ac:dyDescent="0.2">
      <c r="A348" s="103" t="s">
        <v>376</v>
      </c>
      <c r="B348" s="36">
        <v>2.2251254987771918</v>
      </c>
      <c r="C348" s="36">
        <v>0.98461835500064354</v>
      </c>
      <c r="D348" s="3" t="s">
        <v>35</v>
      </c>
      <c r="E348" s="6">
        <f>3.7*0.55</f>
        <v>2.0350000000000001</v>
      </c>
      <c r="F348" s="6">
        <v>1.7</v>
      </c>
      <c r="G348" s="3">
        <v>1.71</v>
      </c>
      <c r="H348" s="6">
        <f>3.06*0.5</f>
        <v>1.53</v>
      </c>
      <c r="I348" s="3">
        <v>2.76</v>
      </c>
      <c r="J348" s="128">
        <v>2.3558677202224176</v>
      </c>
      <c r="K348" s="128">
        <v>3.1314018144571261</v>
      </c>
      <c r="L348" s="6">
        <f>1.4548/0.45436</f>
        <v>3.2018663614754823</v>
      </c>
      <c r="M348" s="63">
        <f>3.05*0.55</f>
        <v>1.6775</v>
      </c>
      <c r="N348" s="6">
        <f>2.8*0.5</f>
        <v>1.4</v>
      </c>
      <c r="O348" s="6">
        <f>5.36*0.7285</f>
        <v>3.9047600000000005</v>
      </c>
      <c r="P348" s="6">
        <f>5.69*0.7285</f>
        <v>4.1451650000000004</v>
      </c>
      <c r="Q348" s="96">
        <f>5.54*0.6598</f>
        <v>3.6552920000000002</v>
      </c>
    </row>
    <row r="349" spans="1:17" x14ac:dyDescent="0.2">
      <c r="A349" s="103" t="s">
        <v>377</v>
      </c>
      <c r="B349" s="36">
        <v>2.2976817364500386</v>
      </c>
      <c r="C349" s="36">
        <v>1.095941433341896</v>
      </c>
      <c r="D349" s="3" t="s">
        <v>35</v>
      </c>
      <c r="E349" s="6">
        <f>3.85*0.55</f>
        <v>2.1175000000000002</v>
      </c>
      <c r="F349" s="6">
        <v>1.75</v>
      </c>
      <c r="G349" s="3">
        <v>1.65</v>
      </c>
      <c r="H349" s="6">
        <f>2.96*0.5</f>
        <v>1.48</v>
      </c>
      <c r="I349" s="3">
        <v>2.69</v>
      </c>
      <c r="J349" s="128">
        <v>2.3579545454545459</v>
      </c>
      <c r="K349" s="128">
        <v>3.0681818181818183</v>
      </c>
      <c r="L349" s="6">
        <f>1.4737/0.45436</f>
        <v>3.2434633330398803</v>
      </c>
      <c r="M349" s="63">
        <f>3.13*0.55</f>
        <v>1.7215</v>
      </c>
      <c r="N349" s="6">
        <f>2.9*0.5</f>
        <v>1.45</v>
      </c>
      <c r="O349" s="6">
        <f>5.22*0.7343</f>
        <v>3.8330459999999995</v>
      </c>
      <c r="P349" s="6">
        <f>5.78*0.7343</f>
        <v>4.2442539999999997</v>
      </c>
      <c r="Q349" s="96">
        <f>5.65*0.6543</f>
        <v>3.6967950000000003</v>
      </c>
    </row>
    <row r="350" spans="1:17" x14ac:dyDescent="0.2">
      <c r="A350" s="103" t="s">
        <v>378</v>
      </c>
      <c r="B350" s="6">
        <v>2.3437459951300785</v>
      </c>
      <c r="C350" s="6">
        <v>1.1741637831603229</v>
      </c>
      <c r="D350" s="3" t="s">
        <v>35</v>
      </c>
      <c r="E350" s="6">
        <f>3.7*0.55</f>
        <v>2.0350000000000001</v>
      </c>
      <c r="F350" s="3">
        <v>1.73</v>
      </c>
      <c r="G350" s="3">
        <v>1.59</v>
      </c>
      <c r="H350" s="6">
        <f>3*0.5</f>
        <v>1.5</v>
      </c>
      <c r="I350" s="3">
        <v>2.68</v>
      </c>
      <c r="J350" s="128">
        <v>2.39</v>
      </c>
      <c r="K350" s="128">
        <v>3.1</v>
      </c>
      <c r="L350" s="6">
        <f>1.5113/0.45436</f>
        <v>3.326217096575403</v>
      </c>
      <c r="M350" s="63">
        <f>3.2*0.55</f>
        <v>1.7600000000000002</v>
      </c>
      <c r="N350" s="6">
        <f>2.95*0.5</f>
        <v>1.4750000000000001</v>
      </c>
      <c r="O350" s="6">
        <f>5.55*0.7359</f>
        <v>4.0842450000000001</v>
      </c>
      <c r="P350" s="6">
        <f>5.84*0.7359</f>
        <v>4.2976559999999999</v>
      </c>
      <c r="Q350" s="96">
        <f>5.74*0.6571</f>
        <v>3.7717540000000001</v>
      </c>
    </row>
    <row r="351" spans="1:17" x14ac:dyDescent="0.2">
      <c r="A351" s="103" t="s">
        <v>379</v>
      </c>
      <c r="B351" s="36">
        <v>2.3503516624040923</v>
      </c>
      <c r="C351" s="36">
        <v>1.1280051150895141</v>
      </c>
      <c r="D351" s="3" t="s">
        <v>35</v>
      </c>
      <c r="E351" s="6">
        <f>3.7*0.55</f>
        <v>2.0350000000000001</v>
      </c>
      <c r="F351" s="36">
        <v>1.67</v>
      </c>
      <c r="G351" s="36">
        <v>1.6</v>
      </c>
      <c r="H351" s="6">
        <f>2.9*0.5</f>
        <v>1.45</v>
      </c>
      <c r="I351" s="36">
        <v>2.69</v>
      </c>
      <c r="J351" s="132">
        <v>2.35</v>
      </c>
      <c r="K351" s="132">
        <v>3.03</v>
      </c>
      <c r="L351" s="6">
        <f>1.5062/0.45436</f>
        <v>3.3149925169469143</v>
      </c>
      <c r="M351" s="63">
        <f>3.1*0.55</f>
        <v>1.7050000000000003</v>
      </c>
      <c r="N351" s="6">
        <f>2.9*0.5</f>
        <v>1.45</v>
      </c>
      <c r="O351" s="6">
        <f>5.52*0.7344</f>
        <v>4.0538879999999997</v>
      </c>
      <c r="P351" s="6">
        <f>5.63*0.7344</f>
        <v>4.1346720000000001</v>
      </c>
      <c r="Q351" s="96">
        <f>5.82*0.663</f>
        <v>3.8586600000000004</v>
      </c>
    </row>
    <row r="352" spans="1:17" x14ac:dyDescent="0.2">
      <c r="A352" s="103" t="s">
        <v>380</v>
      </c>
      <c r="B352" s="36">
        <v>2.3742272640367088</v>
      </c>
      <c r="C352" s="36">
        <v>1.1801669746988719</v>
      </c>
      <c r="D352" s="3" t="s">
        <v>35</v>
      </c>
      <c r="E352" s="6">
        <f>3.6*0.55</f>
        <v>1.9800000000000002</v>
      </c>
      <c r="F352" s="36">
        <v>1.62</v>
      </c>
      <c r="G352" s="36">
        <v>1.48</v>
      </c>
      <c r="H352" s="6">
        <f>2.63*0.5</f>
        <v>1.3149999999999999</v>
      </c>
      <c r="I352" s="36">
        <v>2.65</v>
      </c>
      <c r="J352" s="132">
        <v>2.2284122562674096</v>
      </c>
      <c r="K352" s="132">
        <v>2.96</v>
      </c>
      <c r="L352" s="6">
        <f>1.4719/0.45436</f>
        <v>3.2395017167004139</v>
      </c>
      <c r="M352" s="63">
        <f>3*0.55</f>
        <v>1.6500000000000001</v>
      </c>
      <c r="N352" s="6">
        <f>2.7*0.5</f>
        <v>1.35</v>
      </c>
      <c r="O352" s="6">
        <f>5.47*0.7168</f>
        <v>3.9208959999999999</v>
      </c>
      <c r="P352" s="6">
        <f>5.8*0.7344</f>
        <v>4.2595200000000002</v>
      </c>
      <c r="Q352" s="96">
        <f>5.82*0.646</f>
        <v>3.7597200000000002</v>
      </c>
    </row>
    <row r="353" spans="1:17" x14ac:dyDescent="0.2">
      <c r="A353" s="103" t="s">
        <v>381</v>
      </c>
      <c r="B353" s="36">
        <v>2.3919133528141279</v>
      </c>
      <c r="C353" s="36">
        <v>1.1832676915258546</v>
      </c>
      <c r="D353" s="3" t="s">
        <v>35</v>
      </c>
      <c r="E353" s="6">
        <f>3.4*0.55</f>
        <v>1.87</v>
      </c>
      <c r="F353" s="36">
        <v>1.59</v>
      </c>
      <c r="G353" s="6">
        <v>1.45</v>
      </c>
      <c r="H353" s="6">
        <f>2.57*0.5</f>
        <v>1.2849999999999999</v>
      </c>
      <c r="I353" s="36">
        <v>2.4700000000000002</v>
      </c>
      <c r="J353" s="132">
        <v>2.08</v>
      </c>
      <c r="K353" s="128">
        <v>2.75</v>
      </c>
      <c r="L353" s="6">
        <f>1.4486/0.45436</f>
        <v>3.1882207940839864</v>
      </c>
      <c r="M353" s="63">
        <f>2.9*0.55</f>
        <v>1.595</v>
      </c>
      <c r="N353" s="6">
        <f>2.5*0.5</f>
        <v>1.25</v>
      </c>
      <c r="O353" s="6">
        <f>5.62*0.7012</f>
        <v>3.9407440000000005</v>
      </c>
      <c r="P353" s="6">
        <f>5.74*0.7012</f>
        <v>4.0248880000000007</v>
      </c>
      <c r="Q353" s="96">
        <f>5.82*0.6396</f>
        <v>3.7224719999999998</v>
      </c>
    </row>
    <row r="354" spans="1:17" x14ac:dyDescent="0.2">
      <c r="A354" s="103" t="s">
        <v>382</v>
      </c>
      <c r="B354" s="36">
        <v>2.3248079089608731</v>
      </c>
      <c r="C354" s="36">
        <v>1.20431904201319</v>
      </c>
      <c r="D354" s="3" t="s">
        <v>35</v>
      </c>
      <c r="E354" s="6">
        <f>3.4*0.55</f>
        <v>1.87</v>
      </c>
      <c r="F354" s="36">
        <v>1.57</v>
      </c>
      <c r="G354" s="6">
        <v>1.33</v>
      </c>
      <c r="H354" s="6">
        <f>2.38*0.5</f>
        <v>1.19</v>
      </c>
      <c r="I354" s="36">
        <v>2.48</v>
      </c>
      <c r="J354" s="132">
        <v>2.0360824742268044</v>
      </c>
      <c r="K354" s="128">
        <v>2.7835051546391756</v>
      </c>
      <c r="L354" s="6">
        <f>1.4175/0.45436</f>
        <v>3.1197728673298708</v>
      </c>
      <c r="M354" s="63">
        <f>2.8*0.55</f>
        <v>1.54</v>
      </c>
      <c r="N354" s="6">
        <f>2.4*0.5</f>
        <v>1.2</v>
      </c>
      <c r="O354" s="6">
        <f>5.51*0.7082</f>
        <v>3.9021820000000003</v>
      </c>
      <c r="P354" s="6">
        <f>5.62*0.7082</f>
        <v>3.9800840000000002</v>
      </c>
      <c r="Q354" s="96">
        <f>5.82*0.6303</f>
        <v>3.6683460000000001</v>
      </c>
    </row>
    <row r="355" spans="1:17" x14ac:dyDescent="0.2">
      <c r="A355" s="103" t="s">
        <v>383</v>
      </c>
      <c r="B355" s="36">
        <v>2.3292037072063554</v>
      </c>
      <c r="C355" s="36">
        <v>1.1889540382069228</v>
      </c>
      <c r="D355" s="3" t="s">
        <v>35</v>
      </c>
      <c r="E355" s="6">
        <f>3.35*0.55</f>
        <v>1.8425000000000002</v>
      </c>
      <c r="F355" s="36">
        <v>1.56</v>
      </c>
      <c r="G355" s="6">
        <v>1.31</v>
      </c>
      <c r="H355" s="6">
        <f>2.32*0.5</f>
        <v>1.1599999999999999</v>
      </c>
      <c r="I355" s="36">
        <v>2.4300000000000002</v>
      </c>
      <c r="J355" s="132">
        <v>1.99</v>
      </c>
      <c r="K355" s="128">
        <v>2.81</v>
      </c>
      <c r="L355" s="6">
        <f>1.3918/0.45436</f>
        <v>3.0632097895941541</v>
      </c>
      <c r="M355" s="63">
        <f>2.8*0.55</f>
        <v>1.54</v>
      </c>
      <c r="N355" s="6">
        <f>2.4*0.5</f>
        <v>1.2</v>
      </c>
      <c r="O355" s="6">
        <f>5.62*0.7167</f>
        <v>4.0278540000000005</v>
      </c>
      <c r="P355" s="6">
        <f>5.69*0.7167</f>
        <v>4.078023</v>
      </c>
      <c r="Q355" s="96">
        <f>5.82*0.6356</f>
        <v>3.6991920000000005</v>
      </c>
    </row>
    <row r="356" spans="1:17" x14ac:dyDescent="0.2">
      <c r="A356" s="103" t="s">
        <v>384</v>
      </c>
      <c r="B356" s="6">
        <v>2.2291104275221296</v>
      </c>
      <c r="C356" s="6">
        <v>1.2565760562496076</v>
      </c>
      <c r="D356" s="3" t="s">
        <v>35</v>
      </c>
      <c r="E356" s="6">
        <f>3.3*0.55</f>
        <v>1.8149999999999999</v>
      </c>
      <c r="F356" s="6">
        <v>1.53</v>
      </c>
      <c r="G356" s="6">
        <v>1.25</v>
      </c>
      <c r="H356" s="6">
        <f>2.21*0.5</f>
        <v>1.105</v>
      </c>
      <c r="I356" s="6">
        <v>2.38</v>
      </c>
      <c r="J356" s="128">
        <v>1.98</v>
      </c>
      <c r="K356" s="128">
        <v>2.79</v>
      </c>
      <c r="L356" s="6">
        <f>1.3493/0.45436</f>
        <v>2.9696716260234175</v>
      </c>
      <c r="M356" s="63">
        <f>2.8*0.55</f>
        <v>1.54</v>
      </c>
      <c r="N356" s="6">
        <f>2.4*0.5</f>
        <v>1.2</v>
      </c>
      <c r="O356" s="6">
        <f>5.71*0.7027</f>
        <v>4.0124170000000001</v>
      </c>
      <c r="P356" s="6">
        <f>5.78*0.7027</f>
        <v>4.0616060000000003</v>
      </c>
      <c r="Q356" s="96">
        <f>5.82*0.6355</f>
        <v>3.69861</v>
      </c>
    </row>
    <row r="357" spans="1:17" x14ac:dyDescent="0.2">
      <c r="A357" s="103" t="s">
        <v>385</v>
      </c>
      <c r="B357" s="6">
        <v>2.27200400927144</v>
      </c>
      <c r="C357" s="6">
        <v>1.1652571571759693</v>
      </c>
      <c r="D357" s="3" t="s">
        <v>35</v>
      </c>
      <c r="E357" s="6">
        <f>3.28*0.55</f>
        <v>1.804</v>
      </c>
      <c r="F357" s="6">
        <v>1.52</v>
      </c>
      <c r="G357" s="6">
        <v>1.25</v>
      </c>
      <c r="H357" s="6">
        <f>2.22*0.5</f>
        <v>1.1100000000000001</v>
      </c>
      <c r="I357" s="6">
        <v>2.4700000000000002</v>
      </c>
      <c r="J357" s="128">
        <v>1.99</v>
      </c>
      <c r="K357" s="128">
        <v>2.92</v>
      </c>
      <c r="L357" s="6">
        <f>1.2861/0.45436</f>
        <v>2.830574874548816</v>
      </c>
      <c r="M357" s="63">
        <f>2.8*0.55</f>
        <v>1.54</v>
      </c>
      <c r="N357" s="6">
        <f>2.35*0.5</f>
        <v>1.175</v>
      </c>
      <c r="O357" s="6">
        <f>5.49*0.7029</f>
        <v>3.858921</v>
      </c>
      <c r="P357" s="6">
        <f>5.69*0.7029</f>
        <v>3.999501</v>
      </c>
      <c r="Q357" s="96">
        <f>5.82*0.6402</f>
        <v>3.7259640000000003</v>
      </c>
    </row>
    <row r="358" spans="1:17" ht="13.5" customHeight="1" x14ac:dyDescent="0.2">
      <c r="A358" s="103" t="s">
        <v>386</v>
      </c>
      <c r="B358" s="6">
        <v>2.3810714508970436</v>
      </c>
      <c r="C358" s="6">
        <v>1.2106644995936737</v>
      </c>
      <c r="D358" s="3" t="s">
        <v>35</v>
      </c>
      <c r="E358" s="6">
        <f>3.25*0.55</f>
        <v>1.7875000000000001</v>
      </c>
      <c r="F358" s="6">
        <v>1.52</v>
      </c>
      <c r="G358" s="6">
        <v>1.32</v>
      </c>
      <c r="H358" s="6">
        <f>2.34*0.5</f>
        <v>1.17</v>
      </c>
      <c r="I358" s="6">
        <v>2.61</v>
      </c>
      <c r="J358" s="128">
        <v>2.08</v>
      </c>
      <c r="K358" s="128">
        <v>3.08</v>
      </c>
      <c r="L358" s="6">
        <f>1.1771/0.45436</f>
        <v>2.5906769962144556</v>
      </c>
      <c r="M358" s="63">
        <f>2.8*0.55</f>
        <v>1.54</v>
      </c>
      <c r="N358" s="6">
        <f>2.45*0.5</f>
        <v>1.2250000000000001</v>
      </c>
      <c r="O358" s="6">
        <f>5.14*0.7228</f>
        <v>3.7151919999999996</v>
      </c>
      <c r="P358" s="6">
        <f>5.38*0.7228</f>
        <v>3.8886639999999999</v>
      </c>
      <c r="Q358" s="96">
        <f>5.82*0.6642</f>
        <v>3.8656440000000001</v>
      </c>
    </row>
    <row r="359" spans="1:17" x14ac:dyDescent="0.2">
      <c r="A359" s="103" t="s">
        <v>387</v>
      </c>
      <c r="B359" s="6">
        <v>2.4132929948225317</v>
      </c>
      <c r="C359" s="6">
        <v>1.2105295989021272</v>
      </c>
      <c r="D359" s="3" t="s">
        <v>35</v>
      </c>
      <c r="E359" s="6">
        <f>3.28*0.55</f>
        <v>1.804</v>
      </c>
      <c r="F359" s="6">
        <v>1.53</v>
      </c>
      <c r="G359" s="6">
        <v>1.32</v>
      </c>
      <c r="H359" s="6">
        <f>2.34*0.5</f>
        <v>1.17</v>
      </c>
      <c r="I359" s="6">
        <v>2.5499999999999998</v>
      </c>
      <c r="J359" s="128">
        <v>2.0009999999999999</v>
      </c>
      <c r="K359" s="128">
        <v>3.07</v>
      </c>
      <c r="L359" s="6">
        <f>1.2529/0.45436</f>
        <v>2.7575050620653223</v>
      </c>
      <c r="M359" s="63">
        <f>2.9*0.55</f>
        <v>1.595</v>
      </c>
      <c r="N359" s="6">
        <f>2.5*0.5</f>
        <v>1.25</v>
      </c>
      <c r="O359" s="6">
        <f>4.91*0.731</f>
        <v>3.58921</v>
      </c>
      <c r="P359" s="6">
        <f>4.99*0.731</f>
        <v>3.6476899999999999</v>
      </c>
      <c r="Q359" s="91" t="s">
        <v>35</v>
      </c>
    </row>
    <row r="360" spans="1:17" x14ac:dyDescent="0.2">
      <c r="A360" s="103" t="s">
        <v>388</v>
      </c>
      <c r="B360" s="6">
        <v>2.3987999005098866</v>
      </c>
      <c r="C360" s="6">
        <v>1.1988558636985449</v>
      </c>
      <c r="D360" s="3" t="s">
        <v>35</v>
      </c>
      <c r="E360" s="6">
        <f>3.25*0.55</f>
        <v>1.7875000000000001</v>
      </c>
      <c r="F360" s="6">
        <v>1.55</v>
      </c>
      <c r="G360" s="6">
        <v>1.34</v>
      </c>
      <c r="H360" s="6">
        <f>2.37*0.5</f>
        <v>1.1850000000000001</v>
      </c>
      <c r="I360" s="6">
        <v>2.5499999999999998</v>
      </c>
      <c r="J360" s="128">
        <v>1.96</v>
      </c>
      <c r="K360" s="128">
        <v>3.01</v>
      </c>
      <c r="L360" s="6">
        <f>1.3295/0.45436</f>
        <v>2.926093846289286</v>
      </c>
      <c r="M360" s="63">
        <f>2.85*0.55</f>
        <v>1.5675000000000001</v>
      </c>
      <c r="N360" s="6">
        <f>2.5*0.5</f>
        <v>1.25</v>
      </c>
      <c r="O360" s="6">
        <f>4.98*0.721</f>
        <v>3.5905800000000001</v>
      </c>
      <c r="P360" s="6">
        <f>5.14*0.721</f>
        <v>3.7059399999999996</v>
      </c>
      <c r="Q360" s="91" t="s">
        <v>35</v>
      </c>
    </row>
    <row r="361" spans="1:17" x14ac:dyDescent="0.2">
      <c r="A361" s="103" t="s">
        <v>389</v>
      </c>
      <c r="B361" s="6">
        <v>2.4902786377708983</v>
      </c>
      <c r="C361" s="6">
        <v>1.2011764705882355</v>
      </c>
      <c r="D361" s="3" t="s">
        <v>35</v>
      </c>
      <c r="E361" s="6">
        <f>3.4*0.55</f>
        <v>1.87</v>
      </c>
      <c r="F361" s="6">
        <v>1.58</v>
      </c>
      <c r="G361" s="6">
        <v>1.34</v>
      </c>
      <c r="H361" s="6">
        <f>2.36*0.5</f>
        <v>1.18</v>
      </c>
      <c r="I361" s="6">
        <v>2.56</v>
      </c>
      <c r="J361" s="128">
        <v>1.97</v>
      </c>
      <c r="K361" s="128">
        <v>2.98</v>
      </c>
      <c r="L361" s="6">
        <f>1.3538/0.45436</f>
        <v>2.9795756668720839</v>
      </c>
      <c r="M361" s="63">
        <f>2.85*0.55</f>
        <v>1.5675000000000001</v>
      </c>
      <c r="N361" s="6">
        <f>2.55*0.5</f>
        <v>1.2749999999999999</v>
      </c>
      <c r="O361" s="6">
        <f>5.21*0.7073</f>
        <v>3.6850330000000002</v>
      </c>
      <c r="P361" s="6">
        <f>5.39*0.7073</f>
        <v>3.8123469999999999</v>
      </c>
      <c r="Q361" s="96">
        <f>5.68*0.6686</f>
        <v>3.7976479999999997</v>
      </c>
    </row>
    <row r="362" spans="1:17" x14ac:dyDescent="0.2">
      <c r="A362" s="103" t="s">
        <v>390</v>
      </c>
      <c r="B362" s="6">
        <v>2.4676223430548694</v>
      </c>
      <c r="C362" s="6">
        <v>1.2447478991596641</v>
      </c>
      <c r="D362" s="3" t="s">
        <v>35</v>
      </c>
      <c r="E362" s="6">
        <f>3.45*0.55</f>
        <v>1.8975000000000002</v>
      </c>
      <c r="F362" s="6">
        <v>1.59</v>
      </c>
      <c r="G362" s="6">
        <v>1.42</v>
      </c>
      <c r="H362" s="6">
        <f>2.49*0.5</f>
        <v>1.2450000000000001</v>
      </c>
      <c r="I362" s="6">
        <v>2.62</v>
      </c>
      <c r="J362" s="128">
        <v>2.0370370370370372</v>
      </c>
      <c r="K362" s="128">
        <v>3.0423280423280423</v>
      </c>
      <c r="L362" s="6">
        <f>1.3622/0.45436</f>
        <v>2.9980632097895943</v>
      </c>
      <c r="M362" s="63">
        <f>2.8*0.55</f>
        <v>1.54</v>
      </c>
      <c r="N362" s="6">
        <f>2.5*0.5</f>
        <v>1.25</v>
      </c>
      <c r="O362" s="6">
        <f>5.68*0.7144</f>
        <v>4.0577920000000001</v>
      </c>
      <c r="P362" s="6">
        <f>5.5*0.7144</f>
        <v>3.9292000000000002</v>
      </c>
      <c r="Q362" s="96">
        <f>5.52*0.662</f>
        <v>3.6542399999999997</v>
      </c>
    </row>
    <row r="363" spans="1:17" x14ac:dyDescent="0.2">
      <c r="A363" s="103" t="s">
        <v>391</v>
      </c>
      <c r="B363" s="6">
        <v>2.5147981786857003</v>
      </c>
      <c r="C363" s="6">
        <v>1.2368323898597096</v>
      </c>
      <c r="D363" s="3" t="s">
        <v>35</v>
      </c>
      <c r="E363" s="6">
        <f>3.35*0.55</f>
        <v>1.8425000000000002</v>
      </c>
      <c r="F363" s="6">
        <v>1.52</v>
      </c>
      <c r="G363" s="6">
        <v>1.41</v>
      </c>
      <c r="H363" s="6">
        <f>2.47*0.5</f>
        <v>1.2350000000000001</v>
      </c>
      <c r="I363" s="6">
        <v>2.59</v>
      </c>
      <c r="J363" s="128">
        <v>2.0157068062827226</v>
      </c>
      <c r="K363" s="128">
        <v>3.010471204188482</v>
      </c>
      <c r="L363" s="6">
        <f>1.3041/0.45436</f>
        <v>2.870191037943481</v>
      </c>
      <c r="M363" s="63">
        <f>2.8*0.55</f>
        <v>1.54</v>
      </c>
      <c r="N363" s="6">
        <f>2.5*0.5</f>
        <v>1.25</v>
      </c>
      <c r="O363" s="6">
        <f>5.66*0.7114</f>
        <v>4.0265240000000002</v>
      </c>
      <c r="P363" s="6">
        <f>5.5*0.7114</f>
        <v>3.9127000000000001</v>
      </c>
      <c r="Q363" s="96">
        <f>5.36*0.6526</f>
        <v>3.4979360000000002</v>
      </c>
    </row>
    <row r="364" spans="1:17" x14ac:dyDescent="0.2">
      <c r="A364" s="103" t="s">
        <v>392</v>
      </c>
      <c r="B364" s="6">
        <v>2.4877757352941172</v>
      </c>
      <c r="C364" s="6">
        <v>1.2314338235294118</v>
      </c>
      <c r="D364" s="3" t="s">
        <v>35</v>
      </c>
      <c r="E364" s="6">
        <f>3.25*0.55</f>
        <v>1.7875000000000001</v>
      </c>
      <c r="F364" s="6">
        <v>1.5</v>
      </c>
      <c r="G364" s="6">
        <v>1.4</v>
      </c>
      <c r="H364" s="6">
        <f>2.45*0.5</f>
        <v>1.2250000000000001</v>
      </c>
      <c r="I364" s="6">
        <v>2.68</v>
      </c>
      <c r="J364" s="128">
        <v>2.08</v>
      </c>
      <c r="K364" s="128">
        <v>3.13</v>
      </c>
      <c r="L364" s="6">
        <f>1.2704/0.45436</f>
        <v>2.7960207764768024</v>
      </c>
      <c r="M364" s="63">
        <f>2.65*0.55</f>
        <v>1.4575</v>
      </c>
      <c r="N364" s="6">
        <f>2.35*0.5</f>
        <v>1.175</v>
      </c>
      <c r="O364" s="6">
        <f>5.44*0.7194</f>
        <v>3.9135360000000006</v>
      </c>
      <c r="P364" s="6">
        <f>5.33*0.7194</f>
        <v>3.8344020000000003</v>
      </c>
      <c r="Q364" s="96">
        <f>5.25*0.6556</f>
        <v>3.4419</v>
      </c>
    </row>
    <row r="365" spans="1:17" x14ac:dyDescent="0.2">
      <c r="A365" s="104" t="s">
        <v>393</v>
      </c>
      <c r="B365" s="35">
        <v>2.7231690183861703</v>
      </c>
      <c r="C365" s="35">
        <v>1.3059067863905685</v>
      </c>
      <c r="D365" s="19">
        <v>1.66</v>
      </c>
      <c r="E365" s="35">
        <f>3.2*0.55</f>
        <v>1.7600000000000002</v>
      </c>
      <c r="F365" s="35">
        <v>1.45</v>
      </c>
      <c r="G365" s="35">
        <v>1.48</v>
      </c>
      <c r="H365" s="35">
        <f>2.59*0.5</f>
        <v>1.2949999999999999</v>
      </c>
      <c r="I365" s="35">
        <v>2.64</v>
      </c>
      <c r="J365" s="131">
        <v>2.0266666666666664</v>
      </c>
      <c r="K365" s="131">
        <v>3.0266666666666664</v>
      </c>
      <c r="L365" s="35">
        <f>1.2483/0.45436</f>
        <v>2.7473809314200195</v>
      </c>
      <c r="M365" s="64">
        <f>2.5*0.55</f>
        <v>1.375</v>
      </c>
      <c r="N365" s="35">
        <f>2.3*0.5</f>
        <v>1.1499999999999999</v>
      </c>
      <c r="O365" s="35">
        <f>5.48*0.7228</f>
        <v>3.9609440000000005</v>
      </c>
      <c r="P365" s="35">
        <f>5.39*0.7228</f>
        <v>3.8958919999999999</v>
      </c>
      <c r="Q365" s="105">
        <f>5.13*0.6571</f>
        <v>3.3709229999999999</v>
      </c>
    </row>
    <row r="366" spans="1:17" x14ac:dyDescent="0.2">
      <c r="A366" s="95" t="s">
        <v>394</v>
      </c>
      <c r="B366" s="6">
        <v>3.1991909483545227</v>
      </c>
      <c r="C366" s="6">
        <v>1.3731978830829126</v>
      </c>
      <c r="D366" s="3">
        <v>1.61</v>
      </c>
      <c r="E366" s="6">
        <f>3.1*0.55</f>
        <v>1.7050000000000003</v>
      </c>
      <c r="F366" s="6">
        <v>1.35</v>
      </c>
      <c r="G366" s="6">
        <v>1.42</v>
      </c>
      <c r="H366" s="6">
        <f>2.49*0.5</f>
        <v>1.2450000000000001</v>
      </c>
      <c r="I366" s="6">
        <v>2.6</v>
      </c>
      <c r="J366" s="128">
        <v>2.0299999999999998</v>
      </c>
      <c r="K366" s="128">
        <v>3.03</v>
      </c>
      <c r="L366" s="6">
        <f>1.2634/0.45436</f>
        <v>2.7806144907122108</v>
      </c>
      <c r="M366" s="63">
        <f>2.5*0.55</f>
        <v>1.375</v>
      </c>
      <c r="N366" s="6">
        <f>2.3*0.5</f>
        <v>1.1499999999999999</v>
      </c>
      <c r="O366" s="6">
        <f>5.43*0.7343</f>
        <v>3.9872489999999994</v>
      </c>
      <c r="P366" s="6">
        <f>5.46*0.7343</f>
        <v>4.0092780000000001</v>
      </c>
      <c r="Q366" s="96">
        <f>5.11*0.6673</f>
        <v>3.4099030000000004</v>
      </c>
    </row>
    <row r="367" spans="1:17" x14ac:dyDescent="0.2">
      <c r="A367" s="95" t="s">
        <v>395</v>
      </c>
      <c r="B367" s="6">
        <v>2.9261067313523355</v>
      </c>
      <c r="C367" s="6">
        <v>1.3399029714978776</v>
      </c>
      <c r="D367" s="3">
        <v>1.61</v>
      </c>
      <c r="E367" s="6">
        <f>3.1*0.55</f>
        <v>1.7050000000000003</v>
      </c>
      <c r="F367" s="6">
        <v>1.34</v>
      </c>
      <c r="G367" s="6">
        <v>1.5</v>
      </c>
      <c r="H367" s="6">
        <f>2.63*0.5</f>
        <v>1.3149999999999999</v>
      </c>
      <c r="I367" s="6">
        <v>2.5099999999999998</v>
      </c>
      <c r="J367" s="128">
        <v>1.99</v>
      </c>
      <c r="K367" s="128">
        <v>2.97</v>
      </c>
      <c r="L367" s="6">
        <f>1.2339/0.45436</f>
        <v>2.7156880007042874</v>
      </c>
      <c r="M367" s="63">
        <f>2.5*0.55</f>
        <v>1.375</v>
      </c>
      <c r="N367" s="6">
        <f>2.4*0.5</f>
        <v>1.2</v>
      </c>
      <c r="O367" s="6">
        <f>5.53*0.7296</f>
        <v>4.0346880000000001</v>
      </c>
      <c r="P367" s="6">
        <f>5.33*0.7296</f>
        <v>3.8887680000000002</v>
      </c>
      <c r="Q367" s="96">
        <f>5.11*0.6763</f>
        <v>3.4558930000000001</v>
      </c>
    </row>
    <row r="368" spans="1:17" x14ac:dyDescent="0.2">
      <c r="A368" s="95" t="s">
        <v>396</v>
      </c>
      <c r="B368" s="6">
        <v>1.7618609022556388</v>
      </c>
      <c r="C368" s="6">
        <v>0.80593984962406018</v>
      </c>
      <c r="D368" s="3">
        <v>1.61</v>
      </c>
      <c r="E368" s="6">
        <f>3.1*0.55</f>
        <v>1.7050000000000003</v>
      </c>
      <c r="F368" s="6">
        <v>1.34</v>
      </c>
      <c r="G368" s="6">
        <v>1.48</v>
      </c>
      <c r="H368" s="6">
        <f>2.59*0.5</f>
        <v>1.2949999999999999</v>
      </c>
      <c r="I368" s="6">
        <v>2.4500000000000002</v>
      </c>
      <c r="J368" s="128">
        <v>1.9493670886075949</v>
      </c>
      <c r="K368" s="128">
        <v>2.9113924050632911</v>
      </c>
      <c r="L368" s="6">
        <f>1.1815/0.45436</f>
        <v>2.6003609472664846</v>
      </c>
      <c r="M368" s="63">
        <f>2.5*0.55</f>
        <v>1.375</v>
      </c>
      <c r="N368" s="6">
        <f>2.35*0.5</f>
        <v>1.175</v>
      </c>
      <c r="O368" s="6">
        <f>5.54*0.7122</f>
        <v>3.9455880000000003</v>
      </c>
      <c r="P368" s="6">
        <f>5.18*0.7122</f>
        <v>3.6891959999999999</v>
      </c>
      <c r="Q368" s="96">
        <f>5.04*0.6708</f>
        <v>3.3808319999999998</v>
      </c>
    </row>
    <row r="369" spans="1:17" x14ac:dyDescent="0.2">
      <c r="A369" s="103" t="s">
        <v>397</v>
      </c>
      <c r="B369" s="6">
        <v>1.8015891472868217</v>
      </c>
      <c r="C369" s="6">
        <v>0.75186046511627902</v>
      </c>
      <c r="D369" s="3">
        <v>1.61</v>
      </c>
      <c r="E369" s="6">
        <f>3.1*0.55</f>
        <v>1.7050000000000003</v>
      </c>
      <c r="F369" s="6">
        <v>1.34</v>
      </c>
      <c r="G369" s="6">
        <v>1.44</v>
      </c>
      <c r="H369" s="6">
        <f>2.52*0.5</f>
        <v>1.26</v>
      </c>
      <c r="I369" s="6">
        <v>2.4900000000000002</v>
      </c>
      <c r="J369" s="128">
        <v>1.94</v>
      </c>
      <c r="K369" s="128">
        <v>2.91</v>
      </c>
      <c r="L369" s="6">
        <f>1.1664/0.45436</f>
        <v>2.5671273879742937</v>
      </c>
      <c r="M369" s="63">
        <f>2.55*0.55</f>
        <v>1.4025000000000001</v>
      </c>
      <c r="N369" s="6">
        <f>2.4*0.5</f>
        <v>1.2</v>
      </c>
      <c r="O369" s="6" t="s">
        <v>132</v>
      </c>
      <c r="P369" s="6" t="s">
        <v>132</v>
      </c>
      <c r="Q369" s="96" t="s">
        <v>132</v>
      </c>
    </row>
    <row r="370" spans="1:17" x14ac:dyDescent="0.2">
      <c r="A370" s="103" t="s">
        <v>398</v>
      </c>
      <c r="B370" s="6">
        <v>1.9703488372093025</v>
      </c>
      <c r="C370" s="6">
        <v>0.76120155038759696</v>
      </c>
      <c r="D370" s="3">
        <v>1.61</v>
      </c>
      <c r="E370" s="6">
        <f>3.1*0.55</f>
        <v>1.7050000000000003</v>
      </c>
      <c r="F370" s="6">
        <v>1.34</v>
      </c>
      <c r="G370" s="3">
        <v>1.48</v>
      </c>
      <c r="H370" s="6">
        <f>2.59*0.5</f>
        <v>1.2949999999999999</v>
      </c>
      <c r="I370" s="3">
        <v>2.5099999999999998</v>
      </c>
      <c r="J370" s="128">
        <v>1.94</v>
      </c>
      <c r="K370" s="128">
        <v>3.1</v>
      </c>
      <c r="L370" s="6">
        <f>1.234/0.45436</f>
        <v>2.7159080905009243</v>
      </c>
      <c r="M370" s="63">
        <f>2.55*0.55</f>
        <v>1.4025000000000001</v>
      </c>
      <c r="N370" s="6">
        <f>2.4*0.5</f>
        <v>1.2</v>
      </c>
      <c r="O370" s="6" t="s">
        <v>132</v>
      </c>
      <c r="P370" s="6" t="s">
        <v>132</v>
      </c>
      <c r="Q370" s="96" t="s">
        <v>132</v>
      </c>
    </row>
    <row r="371" spans="1:17" ht="18.75" customHeight="1" x14ac:dyDescent="0.2">
      <c r="A371" s="106" t="s">
        <v>399</v>
      </c>
      <c r="B371" s="65">
        <v>1.7131702898550725</v>
      </c>
      <c r="C371" s="65">
        <v>0.77634057971014492</v>
      </c>
      <c r="D371" s="66">
        <v>1.62</v>
      </c>
      <c r="E371" s="65">
        <f>3.12*0.55</f>
        <v>1.7160000000000002</v>
      </c>
      <c r="F371" s="65">
        <v>1.36</v>
      </c>
      <c r="G371" s="66">
        <v>1.44</v>
      </c>
      <c r="H371" s="65">
        <f>2.59*0.5</f>
        <v>1.2949999999999999</v>
      </c>
      <c r="I371" s="66">
        <v>2.44</v>
      </c>
      <c r="J371" s="133">
        <v>1.9287833827893177</v>
      </c>
      <c r="K371" s="133">
        <v>3.1</v>
      </c>
      <c r="L371" s="65">
        <f>1.3395/0.45436</f>
        <v>2.9481028259529887</v>
      </c>
      <c r="M371" s="65">
        <f>2.6*0.55</f>
        <v>1.4300000000000002</v>
      </c>
      <c r="N371" s="65">
        <f>2.45*0.5</f>
        <v>1.2250000000000001</v>
      </c>
      <c r="O371" s="65">
        <f>5.25*0.6978</f>
        <v>3.6634500000000001</v>
      </c>
      <c r="P371" s="65">
        <f>5.12*0.6978</f>
        <v>3.5727359999999999</v>
      </c>
      <c r="Q371" s="107">
        <f>4.93*0.655</f>
        <v>3.2291499999999997</v>
      </c>
    </row>
    <row r="372" spans="1:17" x14ac:dyDescent="0.2">
      <c r="A372" s="108" t="s">
        <v>400</v>
      </c>
      <c r="B372" s="67">
        <v>1.6103888888888886</v>
      </c>
      <c r="C372" s="67">
        <v>0.76700000000000002</v>
      </c>
      <c r="D372" s="68">
        <v>1.64</v>
      </c>
      <c r="E372" s="67">
        <f>3.15*0.55</f>
        <v>1.7325000000000002</v>
      </c>
      <c r="F372" s="67">
        <v>1.39</v>
      </c>
      <c r="G372" s="68">
        <v>1.42</v>
      </c>
      <c r="H372" s="67">
        <f>2.56*0.5</f>
        <v>1.28</v>
      </c>
      <c r="I372" s="68">
        <v>2.4500000000000002</v>
      </c>
      <c r="J372" s="134">
        <v>1.925925925925926</v>
      </c>
      <c r="K372" s="134">
        <v>3.0370370370370372</v>
      </c>
      <c r="L372" s="67">
        <f>1.3226/0.45436</f>
        <v>2.9109076503213314</v>
      </c>
      <c r="M372" s="65">
        <f>2.6*0.55</f>
        <v>1.4300000000000002</v>
      </c>
      <c r="N372" s="67">
        <f>2.4*0.5</f>
        <v>1.2</v>
      </c>
      <c r="O372" s="65">
        <f>5.38*0.6979</f>
        <v>3.7547019999999995</v>
      </c>
      <c r="P372" s="65">
        <f>5.37*0.6979</f>
        <v>3.7477229999999997</v>
      </c>
      <c r="Q372" s="107">
        <f>4.87*0.647</f>
        <v>3.15089</v>
      </c>
    </row>
    <row r="373" spans="1:17" x14ac:dyDescent="0.2">
      <c r="A373" s="108" t="s">
        <v>401</v>
      </c>
      <c r="B373" s="67">
        <v>1.6714074074074075</v>
      </c>
      <c r="C373" s="67">
        <v>0.71177777777777773</v>
      </c>
      <c r="D373" s="68">
        <v>1.62</v>
      </c>
      <c r="E373" s="67">
        <f>3.13*0.55</f>
        <v>1.7215</v>
      </c>
      <c r="F373" s="67">
        <v>1.35</v>
      </c>
      <c r="G373" s="68">
        <v>1.45</v>
      </c>
      <c r="H373" s="67">
        <f>2.57*0.5</f>
        <v>1.2849999999999999</v>
      </c>
      <c r="I373" s="68">
        <v>2.4300000000000002</v>
      </c>
      <c r="J373" s="134">
        <v>1.8978102189781021</v>
      </c>
      <c r="K373" s="134">
        <v>2.9197080291970803</v>
      </c>
      <c r="L373" s="67">
        <f>1.3325/0.45436</f>
        <v>2.9326965401883971</v>
      </c>
      <c r="M373" s="67">
        <f>2.55*0.55</f>
        <v>1.4025000000000001</v>
      </c>
      <c r="N373" s="67">
        <f>2.4*0.5</f>
        <v>1.2</v>
      </c>
      <c r="O373" s="67">
        <f>5.46*0.6982</f>
        <v>3.8121720000000003</v>
      </c>
      <c r="P373" s="67">
        <f>5.14*0.6982</f>
        <v>3.5887479999999998</v>
      </c>
      <c r="Q373" s="109">
        <f>4.84*0.6494</f>
        <v>3.1430959999999999</v>
      </c>
    </row>
    <row r="374" spans="1:17" x14ac:dyDescent="0.2">
      <c r="A374" s="108" t="s">
        <v>402</v>
      </c>
      <c r="B374" s="67">
        <v>1.7175812274368232</v>
      </c>
      <c r="C374" s="67">
        <v>0.74227436823104698</v>
      </c>
      <c r="D374" s="67">
        <v>1.5</v>
      </c>
      <c r="E374" s="67">
        <f>3*0.55</f>
        <v>1.6500000000000001</v>
      </c>
      <c r="F374" s="67">
        <v>1.3</v>
      </c>
      <c r="G374" s="68">
        <v>1.44</v>
      </c>
      <c r="H374" s="67">
        <f>2.55*0.5</f>
        <v>1.2749999999999999</v>
      </c>
      <c r="I374" s="68">
        <v>2.52</v>
      </c>
      <c r="J374" s="134">
        <v>1.86</v>
      </c>
      <c r="K374" s="134">
        <v>2.89</v>
      </c>
      <c r="L374" s="67">
        <f>1.3372/0.45436</f>
        <v>2.9430407606303373</v>
      </c>
      <c r="M374" s="67">
        <f>2.55*0.55</f>
        <v>1.4025000000000001</v>
      </c>
      <c r="N374" s="67">
        <f>2.4*0.5</f>
        <v>1.2</v>
      </c>
      <c r="O374" s="67">
        <f>5.31*0.7083</f>
        <v>3.7610730000000001</v>
      </c>
      <c r="P374" s="67">
        <f>5.18*0.7083</f>
        <v>3.6689940000000001</v>
      </c>
      <c r="Q374" s="109">
        <f>4.88*0.6477</f>
        <v>3.1607760000000003</v>
      </c>
    </row>
    <row r="375" spans="1:17" x14ac:dyDescent="0.2">
      <c r="A375" s="108" t="s">
        <v>403</v>
      </c>
      <c r="B375" s="67">
        <v>1.7336640680368534</v>
      </c>
      <c r="C375" s="67">
        <v>0.80439404677533666</v>
      </c>
      <c r="D375" s="67">
        <v>1.5</v>
      </c>
      <c r="E375" s="67">
        <f>2.95*0.55</f>
        <v>1.6225000000000003</v>
      </c>
      <c r="F375" s="67">
        <v>1.27</v>
      </c>
      <c r="G375" s="68">
        <v>1.48</v>
      </c>
      <c r="H375" s="67">
        <f>2.61*0.5</f>
        <v>1.3049999999999999</v>
      </c>
      <c r="I375" s="67">
        <v>2.6</v>
      </c>
      <c r="J375" s="134">
        <v>1.99</v>
      </c>
      <c r="K375" s="134">
        <v>3.09</v>
      </c>
      <c r="L375" s="67">
        <f>1.3636/0.45436</f>
        <v>3.0011444669425127</v>
      </c>
      <c r="M375" s="67">
        <f>2.45*0.55</f>
        <v>1.3475000000000001</v>
      </c>
      <c r="N375" s="67">
        <f>2.35*0.5</f>
        <v>1.175</v>
      </c>
      <c r="O375" s="67">
        <f>5.47*0.7212</f>
        <v>3.9449639999999997</v>
      </c>
      <c r="P375" s="67">
        <f>5.25*0.7212</f>
        <v>3.7862999999999998</v>
      </c>
      <c r="Q375" s="109">
        <f>4.9*0.6734</f>
        <v>3.2996600000000003</v>
      </c>
    </row>
    <row r="376" spans="1:17" x14ac:dyDescent="0.2">
      <c r="A376" s="108" t="s">
        <v>404</v>
      </c>
      <c r="B376" s="69">
        <v>1.6867586206896552</v>
      </c>
      <c r="C376" s="67">
        <v>0.77710344827586209</v>
      </c>
      <c r="D376" s="68">
        <v>1.47</v>
      </c>
      <c r="E376" s="67">
        <f>2.85*0.55</f>
        <v>1.5675000000000001</v>
      </c>
      <c r="F376" s="67">
        <v>1.27</v>
      </c>
      <c r="G376" s="68">
        <v>1.51</v>
      </c>
      <c r="H376" s="67">
        <f>2.66*0.5</f>
        <v>1.33</v>
      </c>
      <c r="I376" s="68">
        <v>2.5499999999999998</v>
      </c>
      <c r="J376" s="134">
        <v>1.98</v>
      </c>
      <c r="K376" s="134">
        <v>3</v>
      </c>
      <c r="L376" s="67">
        <f>1.3446/0.45436</f>
        <v>2.9593274055814773</v>
      </c>
      <c r="M376" s="67">
        <f>2.52*0.55</f>
        <v>1.3860000000000001</v>
      </c>
      <c r="N376" s="67">
        <f>2.4*0.5</f>
        <v>1.2</v>
      </c>
      <c r="O376" s="67">
        <f>5.55*0.7097</f>
        <v>3.9388349999999996</v>
      </c>
      <c r="P376" s="67">
        <f>5.39*0.7097</f>
        <v>3.8252829999999998</v>
      </c>
      <c r="Q376" s="109">
        <f>4.9*0.6624</f>
        <v>3.2457600000000002</v>
      </c>
    </row>
    <row r="377" spans="1:17" x14ac:dyDescent="0.2">
      <c r="A377" s="108" t="s">
        <v>405</v>
      </c>
      <c r="B377" s="69">
        <v>1.6406521739130433</v>
      </c>
      <c r="C377" s="69">
        <v>0.73033444816053517</v>
      </c>
      <c r="D377" s="69">
        <v>1.42</v>
      </c>
      <c r="E377" s="67">
        <f>2.85*0.55</f>
        <v>1.5675000000000001</v>
      </c>
      <c r="F377" s="69">
        <v>1.25</v>
      </c>
      <c r="G377" s="69">
        <v>1.45</v>
      </c>
      <c r="H377" s="67">
        <f>2.55*0.5</f>
        <v>1.2749999999999999</v>
      </c>
      <c r="I377" s="69">
        <v>2.5461747957415204</v>
      </c>
      <c r="J377" s="135">
        <v>1.9435503837583561</v>
      </c>
      <c r="K377" s="135">
        <v>2.9338945283486013</v>
      </c>
      <c r="L377" s="67">
        <f>1.3156/0.45436</f>
        <v>2.8955013645567393</v>
      </c>
      <c r="M377" s="69" t="s">
        <v>132</v>
      </c>
      <c r="N377" s="67">
        <f>2.2*0.5</f>
        <v>1.1000000000000001</v>
      </c>
      <c r="O377" s="67">
        <f>5.6*0.7145</f>
        <v>4.0011999999999999</v>
      </c>
      <c r="P377" s="67">
        <f>5.22*0.7145</f>
        <v>3.7296899999999997</v>
      </c>
      <c r="Q377" s="109">
        <f>4.9*0.6622</f>
        <v>3.2447800000000004</v>
      </c>
    </row>
    <row r="378" spans="1:17" x14ac:dyDescent="0.2">
      <c r="A378" s="108" t="s">
        <v>406</v>
      </c>
      <c r="B378" s="69">
        <v>1.5778431372549018</v>
      </c>
      <c r="C378" s="69">
        <v>0.70944444444444443</v>
      </c>
      <c r="D378" s="67">
        <v>1.43</v>
      </c>
      <c r="E378" s="67">
        <f>2.88*0.55</f>
        <v>1.5840000000000001</v>
      </c>
      <c r="F378" s="69">
        <v>1.28</v>
      </c>
      <c r="G378" s="69">
        <v>1.49</v>
      </c>
      <c r="H378" s="67">
        <f>2.62*0.5</f>
        <v>1.31</v>
      </c>
      <c r="I378" s="67">
        <v>2.5979999999999999</v>
      </c>
      <c r="J378" s="134">
        <v>1.9649561952440548</v>
      </c>
      <c r="K378" s="134">
        <v>2.9662077596996244</v>
      </c>
      <c r="L378" s="67">
        <f>1.3363/0.45436</f>
        <v>2.9410599524606043</v>
      </c>
      <c r="M378" s="67">
        <f>2.65*0.55</f>
        <v>1.4575</v>
      </c>
      <c r="N378" s="67">
        <f>2.45*0.5</f>
        <v>1.2250000000000001</v>
      </c>
      <c r="O378" s="67">
        <f>5.53*0.7203</f>
        <v>3.9832590000000003</v>
      </c>
      <c r="P378" s="67">
        <f>5.24*0.7203</f>
        <v>3.7743720000000005</v>
      </c>
      <c r="Q378" s="109">
        <f>4.9*0.6697</f>
        <v>3.2815300000000001</v>
      </c>
    </row>
    <row r="379" spans="1:17" x14ac:dyDescent="0.2">
      <c r="A379" s="108" t="s">
        <v>407</v>
      </c>
      <c r="B379" s="69">
        <v>1.5690224358974361</v>
      </c>
      <c r="C379" s="69">
        <v>0.65333333333333332</v>
      </c>
      <c r="D379" s="69">
        <v>1.47</v>
      </c>
      <c r="E379" s="67">
        <f>2.95*0.55</f>
        <v>1.6225000000000003</v>
      </c>
      <c r="F379" s="69">
        <v>1.3</v>
      </c>
      <c r="G379" s="69">
        <v>1.5</v>
      </c>
      <c r="H379" s="67">
        <f>2.66*0.5</f>
        <v>1.33</v>
      </c>
      <c r="I379" s="69">
        <v>2.77</v>
      </c>
      <c r="J379" s="135">
        <v>2.06</v>
      </c>
      <c r="K379" s="135">
        <v>3.11</v>
      </c>
      <c r="L379" s="67">
        <f>1.3602/0.45436</f>
        <v>2.993661413856854</v>
      </c>
      <c r="M379" s="67">
        <f>2.75*0.55</f>
        <v>1.5125000000000002</v>
      </c>
      <c r="N379" s="67">
        <f>2.5*0.5</f>
        <v>1.25</v>
      </c>
      <c r="O379" s="67">
        <f>5.59*0.7433</f>
        <v>4.1550469999999997</v>
      </c>
      <c r="P379" s="67">
        <f>5.34*0.7433</f>
        <v>3.9692219999999998</v>
      </c>
      <c r="Q379" s="109">
        <f>4.88*0.681</f>
        <v>3.32328</v>
      </c>
    </row>
    <row r="380" spans="1:17" x14ac:dyDescent="0.2">
      <c r="A380" s="108" t="s">
        <v>408</v>
      </c>
      <c r="B380" s="69">
        <v>1.6324363992172211</v>
      </c>
      <c r="C380" s="69">
        <v>0.66353555120678409</v>
      </c>
      <c r="D380" s="69">
        <v>1.47</v>
      </c>
      <c r="E380" s="67">
        <f>2.95*0.55</f>
        <v>1.6225000000000003</v>
      </c>
      <c r="F380" s="69">
        <v>1.29</v>
      </c>
      <c r="G380" s="69">
        <v>1.58</v>
      </c>
      <c r="H380" s="67">
        <f>2.81*0.5</f>
        <v>1.405</v>
      </c>
      <c r="I380" s="69">
        <v>2.9016560273845866</v>
      </c>
      <c r="J380" s="135">
        <v>2.317513183458229</v>
      </c>
      <c r="K380" s="135">
        <v>3.330557868442964</v>
      </c>
      <c r="L380" s="67">
        <f>1.3576/0.45436</f>
        <v>2.9879390791442906</v>
      </c>
      <c r="M380" s="67">
        <f>2.75*0.55</f>
        <v>1.5125000000000002</v>
      </c>
      <c r="N380" s="67">
        <f>2.5*0.5</f>
        <v>1.25</v>
      </c>
      <c r="O380" s="67">
        <f>5.65*0.744</f>
        <v>4.2036000000000007</v>
      </c>
      <c r="P380" s="67">
        <f>5.27*0.744</f>
        <v>3.9208799999999995</v>
      </c>
      <c r="Q380" s="109">
        <f>4.96*0.6662</f>
        <v>3.3043520000000002</v>
      </c>
    </row>
    <row r="381" spans="1:17" x14ac:dyDescent="0.2">
      <c r="A381" s="108" t="s">
        <v>409</v>
      </c>
      <c r="B381" s="69">
        <v>1.7627054794520547</v>
      </c>
      <c r="C381" s="69">
        <v>0.69674657534246576</v>
      </c>
      <c r="D381" s="69">
        <v>1.42</v>
      </c>
      <c r="E381" s="67">
        <f>2.85*0.55</f>
        <v>1.5675000000000001</v>
      </c>
      <c r="F381" s="69">
        <v>1.28</v>
      </c>
      <c r="G381" s="69">
        <v>1.57</v>
      </c>
      <c r="H381" s="67">
        <f>2.79*0.5</f>
        <v>1.395</v>
      </c>
      <c r="I381" s="69">
        <v>2.86</v>
      </c>
      <c r="J381" s="135">
        <v>2.3259052924791086</v>
      </c>
      <c r="K381" s="135">
        <v>3.3426183844011144</v>
      </c>
      <c r="L381" s="67">
        <f>1.3793/0.45436</f>
        <v>3.0356985650145258</v>
      </c>
      <c r="M381" s="67">
        <f>2.7*0.55</f>
        <v>1.4850000000000003</v>
      </c>
      <c r="N381" s="67">
        <f>2.35*0.5</f>
        <v>1.175</v>
      </c>
      <c r="O381" s="67">
        <f>5.44*0.7641</f>
        <v>4.1567040000000004</v>
      </c>
      <c r="P381" s="67">
        <f>5.25*0.7641</f>
        <v>4.0115249999999998</v>
      </c>
      <c r="Q381" s="109">
        <f>4.98*0.6845</f>
        <v>3.4088100000000003</v>
      </c>
    </row>
    <row r="382" spans="1:17" x14ac:dyDescent="0.2">
      <c r="A382" s="108" t="s">
        <v>410</v>
      </c>
      <c r="B382" s="69">
        <v>1.7472619047619049</v>
      </c>
      <c r="C382" s="69">
        <v>0.69329931972789127</v>
      </c>
      <c r="D382" s="69">
        <v>1.4</v>
      </c>
      <c r="E382" s="67">
        <f>2.8*0.55</f>
        <v>1.54</v>
      </c>
      <c r="F382" s="69">
        <v>1.24</v>
      </c>
      <c r="G382" s="69">
        <v>1.62</v>
      </c>
      <c r="H382" s="67">
        <f>2.9*0.5</f>
        <v>1.45</v>
      </c>
      <c r="I382" s="69">
        <v>2.95</v>
      </c>
      <c r="J382" s="135">
        <v>2.35</v>
      </c>
      <c r="K382" s="135">
        <v>3.31</v>
      </c>
      <c r="L382" s="67">
        <f>1.3612/0.45436</f>
        <v>2.9958623118232239</v>
      </c>
      <c r="M382" s="67">
        <f t="shared" ref="M382:M387" si="0">2.8*0.55</f>
        <v>1.54</v>
      </c>
      <c r="N382" s="67">
        <f>2.5*0.5</f>
        <v>1.25</v>
      </c>
      <c r="O382" s="67">
        <f>5.36*0.7665</f>
        <v>4.1084399999999999</v>
      </c>
      <c r="P382" s="67">
        <f>5.2*0.7665</f>
        <v>3.9857999999999998</v>
      </c>
      <c r="Q382" s="109">
        <f>4.93*0.6915</f>
        <v>3.4090949999999998</v>
      </c>
    </row>
    <row r="383" spans="1:17" x14ac:dyDescent="0.2">
      <c r="A383" s="108" t="s">
        <v>411</v>
      </c>
      <c r="B383" s="69">
        <v>1.8295862068965518</v>
      </c>
      <c r="C383" s="69">
        <v>0.73934482758620701</v>
      </c>
      <c r="D383" s="69">
        <v>1.39</v>
      </c>
      <c r="E383" s="67">
        <f>2.78*0.55</f>
        <v>1.5289999999999999</v>
      </c>
      <c r="F383" s="67">
        <v>1.22</v>
      </c>
      <c r="G383" s="67">
        <v>1.6</v>
      </c>
      <c r="H383" s="67">
        <f>2.84*0.5</f>
        <v>1.42</v>
      </c>
      <c r="I383" s="67">
        <v>2.93</v>
      </c>
      <c r="J383" s="134">
        <v>2.33</v>
      </c>
      <c r="K383" s="134">
        <v>3.22</v>
      </c>
      <c r="L383" s="67">
        <f>1.3383/0.45436</f>
        <v>2.9454617483933445</v>
      </c>
      <c r="M383" s="67">
        <f t="shared" si="0"/>
        <v>1.54</v>
      </c>
      <c r="N383" s="67">
        <f>2.45*0.5</f>
        <v>1.2250000000000001</v>
      </c>
      <c r="O383" s="67">
        <f>5.3*0.7506</f>
        <v>3.97818</v>
      </c>
      <c r="P383" s="67">
        <f>5.18*0.7506</f>
        <v>3.8881079999999999</v>
      </c>
      <c r="Q383" s="109">
        <f>4.9*0.6775</f>
        <v>3.31975</v>
      </c>
    </row>
    <row r="384" spans="1:17" x14ac:dyDescent="0.2">
      <c r="A384" s="108" t="s">
        <v>412</v>
      </c>
      <c r="B384" s="69">
        <v>1.8384965034965033</v>
      </c>
      <c r="C384" s="67">
        <v>0.77489510489510482</v>
      </c>
      <c r="D384" s="69">
        <v>1.37</v>
      </c>
      <c r="E384" s="67">
        <f>2.65*0.55</f>
        <v>1.4575</v>
      </c>
      <c r="F384" s="67">
        <v>1.1599999999999999</v>
      </c>
      <c r="G384" s="67">
        <v>1.67</v>
      </c>
      <c r="H384" s="67">
        <f>2.95*0.5</f>
        <v>1.4750000000000001</v>
      </c>
      <c r="I384" s="67">
        <v>2.99</v>
      </c>
      <c r="J384" s="134">
        <v>2.35</v>
      </c>
      <c r="K384" s="134">
        <v>3.13</v>
      </c>
      <c r="L384" s="67">
        <f>1.339/0.45436</f>
        <v>2.9470023769698037</v>
      </c>
      <c r="M384" s="67">
        <f t="shared" si="0"/>
        <v>1.54</v>
      </c>
      <c r="N384" s="67">
        <f>2.35*0.5</f>
        <v>1.175</v>
      </c>
      <c r="O384" s="67">
        <f>5.14*0.7705</f>
        <v>3.9603699999999997</v>
      </c>
      <c r="P384" s="67">
        <f>5.08*0.7705</f>
        <v>3.9141399999999997</v>
      </c>
      <c r="Q384" s="109">
        <f>4.9*0.6864</f>
        <v>3.3633600000000001</v>
      </c>
    </row>
    <row r="385" spans="1:17" x14ac:dyDescent="0.2">
      <c r="A385" s="108" t="s">
        <v>413</v>
      </c>
      <c r="B385" s="69">
        <v>1.8963614206128137</v>
      </c>
      <c r="C385" s="69">
        <v>0.76002785515320348</v>
      </c>
      <c r="D385" s="69">
        <v>1.35</v>
      </c>
      <c r="E385" s="67">
        <f>2.6*0.55</f>
        <v>1.4300000000000002</v>
      </c>
      <c r="F385" s="67">
        <v>1.1499999999999999</v>
      </c>
      <c r="G385" s="67">
        <v>1.65</v>
      </c>
      <c r="H385" s="67">
        <f>2.95*0.5</f>
        <v>1.4750000000000001</v>
      </c>
      <c r="I385" s="67">
        <v>2.96</v>
      </c>
      <c r="J385" s="134">
        <v>2.34</v>
      </c>
      <c r="K385" s="134">
        <v>3.12</v>
      </c>
      <c r="L385" s="67">
        <f>1.3399/0.45436</f>
        <v>2.9489831851395372</v>
      </c>
      <c r="M385" s="67">
        <f t="shared" si="0"/>
        <v>1.54</v>
      </c>
      <c r="N385" s="67">
        <f>2.45*0.5</f>
        <v>1.2250000000000001</v>
      </c>
      <c r="O385" s="67">
        <f>5.04*0.7741</f>
        <v>3.9014640000000003</v>
      </c>
      <c r="P385" s="67">
        <f>5.12*0.7741</f>
        <v>3.9633920000000002</v>
      </c>
      <c r="Q385" s="109">
        <f>4.9*0.6907</f>
        <v>3.38443</v>
      </c>
    </row>
    <row r="386" spans="1:17" x14ac:dyDescent="0.2">
      <c r="A386" s="108" t="s">
        <v>414</v>
      </c>
      <c r="B386" s="69">
        <v>1.9035035211267606</v>
      </c>
      <c r="C386" s="69">
        <v>0.8001408450704226</v>
      </c>
      <c r="D386" s="69">
        <v>1.35</v>
      </c>
      <c r="E386" s="67">
        <f>2.63*0.55</f>
        <v>1.4465000000000001</v>
      </c>
      <c r="F386" s="67">
        <v>1.1599999999999999</v>
      </c>
      <c r="G386" s="67">
        <v>1.65</v>
      </c>
      <c r="H386" s="67">
        <f>2.96*0.5</f>
        <v>1.48</v>
      </c>
      <c r="I386" s="67">
        <v>3</v>
      </c>
      <c r="J386" s="134">
        <v>2.36</v>
      </c>
      <c r="K386" s="134">
        <v>3.1</v>
      </c>
      <c r="L386" s="67">
        <f>1.2645/0.45436</f>
        <v>2.783035478475218</v>
      </c>
      <c r="M386" s="67">
        <f t="shared" si="0"/>
        <v>1.54</v>
      </c>
      <c r="N386" s="67">
        <f>2.55*0.5</f>
        <v>1.2749999999999999</v>
      </c>
      <c r="O386" s="67">
        <f>5.1*0.7637</f>
        <v>3.8948700000000001</v>
      </c>
      <c r="P386" s="67">
        <f>5.26*0.7637</f>
        <v>4.0170620000000001</v>
      </c>
      <c r="Q386" s="109">
        <f>4.9*0.697</f>
        <v>3.4153000000000002</v>
      </c>
    </row>
    <row r="387" spans="1:17" x14ac:dyDescent="0.2">
      <c r="A387" s="108" t="s">
        <v>415</v>
      </c>
      <c r="B387" s="69">
        <v>1.9100704225352114</v>
      </c>
      <c r="C387" s="67">
        <v>0.74457746478873243</v>
      </c>
      <c r="D387" s="67">
        <v>1.35</v>
      </c>
      <c r="E387" s="67">
        <f>2.65*0.55</f>
        <v>1.4575</v>
      </c>
      <c r="F387" s="67">
        <v>1.1599999999999999</v>
      </c>
      <c r="G387" s="67">
        <v>1.67</v>
      </c>
      <c r="H387" s="67">
        <f>2.94*0.5</f>
        <v>1.47</v>
      </c>
      <c r="I387" s="67">
        <v>2.94</v>
      </c>
      <c r="J387" s="134">
        <v>2.3199999999999998</v>
      </c>
      <c r="K387" s="134">
        <v>3.04</v>
      </c>
      <c r="L387" s="67">
        <f>1.2379/0.45436</f>
        <v>2.7244915925697684</v>
      </c>
      <c r="M387" s="67">
        <f t="shared" si="0"/>
        <v>1.54</v>
      </c>
      <c r="N387" s="67">
        <f>2.55*0.5</f>
        <v>1.2749999999999999</v>
      </c>
      <c r="O387" s="67">
        <f>5.19*0.7465</f>
        <v>3.8743350000000008</v>
      </c>
      <c r="P387" s="67">
        <f>5.13*0.7465</f>
        <v>3.829545</v>
      </c>
      <c r="Q387" s="109">
        <f>4.94*0.6885</f>
        <v>3.4011900000000002</v>
      </c>
    </row>
    <row r="388" spans="1:17" x14ac:dyDescent="0.2">
      <c r="A388" s="108" t="s">
        <v>416</v>
      </c>
      <c r="B388" s="67">
        <v>2.0005649717514125</v>
      </c>
      <c r="C388" s="67">
        <v>0.67665960451977403</v>
      </c>
      <c r="D388" s="67">
        <v>1.38</v>
      </c>
      <c r="E388" s="67">
        <f>2.7*0.55</f>
        <v>1.4850000000000003</v>
      </c>
      <c r="F388" s="67">
        <v>1.17</v>
      </c>
      <c r="G388" s="67">
        <v>1.72</v>
      </c>
      <c r="H388" s="67">
        <f>3*0.5</f>
        <v>1.5</v>
      </c>
      <c r="I388" s="67">
        <v>2.93</v>
      </c>
      <c r="J388" s="134">
        <v>2.2999999999999998</v>
      </c>
      <c r="K388" s="134">
        <v>2.98</v>
      </c>
      <c r="L388" s="67">
        <f>1.2659/0.45436</f>
        <v>2.7861167356281364</v>
      </c>
      <c r="M388" s="67">
        <f>2.85*0.55</f>
        <v>1.5675000000000001</v>
      </c>
      <c r="N388" s="67">
        <f>2.45*0.5</f>
        <v>1.2250000000000001</v>
      </c>
      <c r="O388" s="67">
        <f>5.18*0.7326</f>
        <v>3.7948680000000001</v>
      </c>
      <c r="P388" s="67">
        <f>5.12*0.7326</f>
        <v>3.750912</v>
      </c>
      <c r="Q388" s="109">
        <f>4.96*0.682</f>
        <v>3.3827200000000004</v>
      </c>
    </row>
    <row r="389" spans="1:17" x14ac:dyDescent="0.2">
      <c r="A389" s="108" t="s">
        <v>417</v>
      </c>
      <c r="B389" s="67">
        <v>1.9899396735273245</v>
      </c>
      <c r="C389" s="67">
        <v>0.70404542228530875</v>
      </c>
      <c r="D389" s="67">
        <v>1.4</v>
      </c>
      <c r="E389" s="67">
        <f>2.75*0.55</f>
        <v>1.5125000000000002</v>
      </c>
      <c r="F389" s="67">
        <v>1.18</v>
      </c>
      <c r="G389" s="67">
        <v>1.7</v>
      </c>
      <c r="H389" s="67">
        <f>2.97*0.5</f>
        <v>1.4850000000000001</v>
      </c>
      <c r="I389" s="67">
        <v>2.91</v>
      </c>
      <c r="J389" s="134">
        <v>2.245762711864407</v>
      </c>
      <c r="K389" s="134">
        <v>2.8107344632768361</v>
      </c>
      <c r="L389" s="67">
        <f>1.3256/0.45436</f>
        <v>2.917510344220442</v>
      </c>
      <c r="M389" s="67">
        <f>2.8*0.55</f>
        <v>1.54</v>
      </c>
      <c r="N389" s="67">
        <f>2.5*0.5</f>
        <v>1.25</v>
      </c>
      <c r="O389" s="67">
        <f>5.6*0.7226</f>
        <v>4.0465599999999995</v>
      </c>
      <c r="P389" s="67">
        <f>5.17*0.7226</f>
        <v>3.7358419999999999</v>
      </c>
      <c r="Q389" s="109">
        <f>5*0.6752</f>
        <v>3.3760000000000003</v>
      </c>
    </row>
    <row r="390" spans="1:17" x14ac:dyDescent="0.2">
      <c r="A390" s="108" t="s">
        <v>418</v>
      </c>
      <c r="B390" s="67">
        <v>1.9229821428571425</v>
      </c>
      <c r="C390" s="67">
        <v>0.70082142857142848</v>
      </c>
      <c r="D390" s="67">
        <v>1.41</v>
      </c>
      <c r="E390" s="67">
        <f>2.8*0.55</f>
        <v>1.54</v>
      </c>
      <c r="F390" s="67">
        <v>1.2</v>
      </c>
      <c r="G390" s="67">
        <v>1.66</v>
      </c>
      <c r="H390" s="67">
        <f>2.9*0.5</f>
        <v>1.45</v>
      </c>
      <c r="I390" s="67">
        <v>2.87</v>
      </c>
      <c r="J390" s="134">
        <v>2.21</v>
      </c>
      <c r="K390" s="134">
        <v>2.76</v>
      </c>
      <c r="L390" s="67">
        <f>1.3075/0.45436</f>
        <v>2.8776740910291401</v>
      </c>
      <c r="M390" s="67">
        <f>2.8*0.55</f>
        <v>1.54</v>
      </c>
      <c r="N390" s="67">
        <f>2.5*0.5</f>
        <v>1.25</v>
      </c>
      <c r="O390" s="67">
        <f>5.34*0.722</f>
        <v>3.8554799999999996</v>
      </c>
      <c r="P390" s="67">
        <f>5.22*0.722</f>
        <v>3.7688399999999995</v>
      </c>
      <c r="Q390" s="109">
        <f>5.04*0.6743</f>
        <v>3.3984719999999999</v>
      </c>
    </row>
    <row r="391" spans="1:17" x14ac:dyDescent="0.2">
      <c r="A391" s="108" t="s">
        <v>419</v>
      </c>
      <c r="B391" s="69">
        <v>2.0939028776978419</v>
      </c>
      <c r="C391" s="69">
        <v>0.75219424460431661</v>
      </c>
      <c r="D391" s="67">
        <v>1.41</v>
      </c>
      <c r="E391" s="67">
        <f>2.85*0.55</f>
        <v>1.5675000000000001</v>
      </c>
      <c r="F391" s="67">
        <v>1.21</v>
      </c>
      <c r="G391" s="67">
        <v>1.65</v>
      </c>
      <c r="H391" s="67">
        <f>2.88*0.5</f>
        <v>1.44</v>
      </c>
      <c r="I391" s="67">
        <v>2.9569405099150141</v>
      </c>
      <c r="J391" s="134">
        <v>2.2521246458923514</v>
      </c>
      <c r="K391" s="134">
        <v>2.8186968838526911</v>
      </c>
      <c r="L391" s="67">
        <f>1.2499/0.45436</f>
        <v>2.7509023681662121</v>
      </c>
      <c r="M391" s="67">
        <f>2.85*0.55</f>
        <v>1.5675000000000001</v>
      </c>
      <c r="N391" s="67">
        <f>2.55*0.5</f>
        <v>1.2749999999999999</v>
      </c>
      <c r="O391" s="67">
        <f>5.72*0.7225</f>
        <v>4.1326999999999998</v>
      </c>
      <c r="P391" s="67">
        <f>5.38*0.7225</f>
        <v>3.8870499999999999</v>
      </c>
      <c r="Q391" s="109">
        <f>5.14*0.6808</f>
        <v>3.4993119999999998</v>
      </c>
    </row>
    <row r="392" spans="1:17" ht="12" customHeight="1" x14ac:dyDescent="0.2">
      <c r="A392" s="108" t="s">
        <v>420</v>
      </c>
      <c r="B392" s="69">
        <v>2.1</v>
      </c>
      <c r="C392" s="67">
        <v>0.8</v>
      </c>
      <c r="D392" s="67">
        <v>1.41</v>
      </c>
      <c r="E392" s="67">
        <f>2.85*0.55</f>
        <v>1.5675000000000001</v>
      </c>
      <c r="F392" s="67">
        <v>1.2</v>
      </c>
      <c r="G392" s="67">
        <v>1.73</v>
      </c>
      <c r="H392" s="67">
        <f>3.02*0.5</f>
        <v>1.51</v>
      </c>
      <c r="I392" s="67">
        <v>3.04</v>
      </c>
      <c r="J392" s="134">
        <v>2.23</v>
      </c>
      <c r="K392" s="134">
        <v>2.77</v>
      </c>
      <c r="L392" s="67">
        <f>1.2929/0.45436</f>
        <v>2.8455409807201337</v>
      </c>
      <c r="M392" s="67">
        <f>2.8*0.55</f>
        <v>1.54</v>
      </c>
      <c r="N392" s="67">
        <f>2.5*0.5</f>
        <v>1.25</v>
      </c>
      <c r="O392" s="67">
        <f>5.78*0.7437</f>
        <v>4.2985860000000002</v>
      </c>
      <c r="P392" s="67">
        <f>5.42*0.7437</f>
        <v>4.0308539999999997</v>
      </c>
      <c r="Q392" s="109">
        <f>5.17*0.713</f>
        <v>3.68621</v>
      </c>
    </row>
    <row r="393" spans="1:17" ht="12" customHeight="1" x14ac:dyDescent="0.2">
      <c r="A393" s="108" t="s">
        <v>421</v>
      </c>
      <c r="B393" s="69">
        <v>2.0337318840579708</v>
      </c>
      <c r="C393" s="69">
        <v>0.71416666666666662</v>
      </c>
      <c r="D393" s="69">
        <v>1.42</v>
      </c>
      <c r="E393" s="67">
        <f>2.85*0.55</f>
        <v>1.5675000000000001</v>
      </c>
      <c r="F393" s="69">
        <v>1.22</v>
      </c>
      <c r="G393" s="69">
        <v>1.71</v>
      </c>
      <c r="H393" s="67">
        <f>3.06*0.5</f>
        <v>1.53</v>
      </c>
      <c r="I393" s="69">
        <v>3.02</v>
      </c>
      <c r="J393" s="135">
        <v>2.23</v>
      </c>
      <c r="K393" s="135">
        <v>2.77</v>
      </c>
      <c r="L393" s="67">
        <f>1.2752/0.45436</f>
        <v>2.8065850867153799</v>
      </c>
      <c r="M393" s="67">
        <f>2.8*0.55</f>
        <v>1.54</v>
      </c>
      <c r="N393" s="67">
        <f>2.5*0.5</f>
        <v>1.25</v>
      </c>
      <c r="O393" s="67">
        <f>5.38*0.736</f>
        <v>3.9596799999999996</v>
      </c>
      <c r="P393" s="67">
        <f>5.7*0.736</f>
        <v>4.1951999999999998</v>
      </c>
      <c r="Q393" s="109">
        <f>5.17*0.70461</f>
        <v>3.6428336999999997</v>
      </c>
    </row>
    <row r="394" spans="1:17" ht="12" customHeight="1" x14ac:dyDescent="0.2">
      <c r="A394" s="108" t="s">
        <v>422</v>
      </c>
      <c r="B394" s="69">
        <v>1.9761655405405403</v>
      </c>
      <c r="C394" s="69">
        <v>0.66520270270270254</v>
      </c>
      <c r="D394" s="67">
        <v>1.42</v>
      </c>
      <c r="E394" s="67">
        <f>2.9*0.55</f>
        <v>1.595</v>
      </c>
      <c r="F394" s="69">
        <v>1.22</v>
      </c>
      <c r="G394" s="67">
        <v>1.75</v>
      </c>
      <c r="H394" s="67">
        <f>3.14*0.5</f>
        <v>1.57</v>
      </c>
      <c r="I394" s="67">
        <v>3.09</v>
      </c>
      <c r="J394" s="134">
        <v>2.2999999999999998</v>
      </c>
      <c r="K394" s="134">
        <v>2.86</v>
      </c>
      <c r="L394" s="67">
        <f>1.2059/0.45436</f>
        <v>2.6540628576459198</v>
      </c>
      <c r="M394" s="67">
        <f>2.8*0.55</f>
        <v>1.54</v>
      </c>
      <c r="N394" s="67">
        <f>2.55*0.5</f>
        <v>1.2749999999999999</v>
      </c>
      <c r="O394" s="67">
        <f>6.08*0.7626</f>
        <v>4.6366079999999998</v>
      </c>
      <c r="P394" s="67">
        <f>5.89*0.7626</f>
        <v>4.4917139999999991</v>
      </c>
      <c r="Q394" s="109">
        <f>5.17*0.7248</f>
        <v>3.7472159999999999</v>
      </c>
    </row>
    <row r="395" spans="1:17" ht="12" customHeight="1" x14ac:dyDescent="0.2">
      <c r="A395" s="108" t="s">
        <v>423</v>
      </c>
      <c r="B395" s="69">
        <v>1.9323333333333332</v>
      </c>
      <c r="C395" s="67">
        <v>0.6952666666666667</v>
      </c>
      <c r="D395" s="67">
        <v>1.42</v>
      </c>
      <c r="E395" s="67">
        <f>2.9*0.55</f>
        <v>1.595</v>
      </c>
      <c r="F395" s="69">
        <v>1.22</v>
      </c>
      <c r="G395" s="67">
        <v>1.8</v>
      </c>
      <c r="H395" s="67">
        <f>3.24*0.5</f>
        <v>1.62</v>
      </c>
      <c r="I395" s="67">
        <v>3.22</v>
      </c>
      <c r="J395" s="134">
        <v>2.4</v>
      </c>
      <c r="K395" s="134">
        <v>2.99</v>
      </c>
      <c r="L395" s="67">
        <f>1.1674/0.45436</f>
        <v>2.5693282859406636</v>
      </c>
      <c r="M395" s="67">
        <f>2.8*0.55</f>
        <v>1.54</v>
      </c>
      <c r="N395" s="67">
        <f>2.55*0.5</f>
        <v>1.2749999999999999</v>
      </c>
      <c r="O395" s="67">
        <f>5.81*0.7481</f>
        <v>4.3464609999999997</v>
      </c>
      <c r="P395" s="67">
        <f>6*0.7481</f>
        <v>4.4885999999999999</v>
      </c>
      <c r="Q395" s="109">
        <f>5.09*0.7164</f>
        <v>3.6464760000000003</v>
      </c>
    </row>
    <row r="396" spans="1:17" ht="12" customHeight="1" x14ac:dyDescent="0.2">
      <c r="A396" s="108" t="s">
        <v>424</v>
      </c>
      <c r="B396" s="69">
        <v>1.9914675767918086</v>
      </c>
      <c r="C396" s="67">
        <v>0.79276450511945395</v>
      </c>
      <c r="D396" s="67">
        <v>1.42</v>
      </c>
      <c r="E396" s="67">
        <f>2.93*0.55</f>
        <v>1.6115000000000002</v>
      </c>
      <c r="F396" s="69">
        <v>1.22</v>
      </c>
      <c r="G396" s="67">
        <v>1.81</v>
      </c>
      <c r="H396" s="67">
        <f>3.24*0.5</f>
        <v>1.62</v>
      </c>
      <c r="I396" s="67">
        <v>3.1</v>
      </c>
      <c r="J396" s="134">
        <v>2.3079213817748658</v>
      </c>
      <c r="K396" s="134">
        <v>2.8737343656938652</v>
      </c>
      <c r="L396" s="67">
        <f>1.225/0.45436</f>
        <v>2.696100008803592</v>
      </c>
      <c r="M396" s="67">
        <f>2.8*0.55</f>
        <v>1.54</v>
      </c>
      <c r="N396" s="67">
        <f>2.55*0.5</f>
        <v>1.2749999999999999</v>
      </c>
      <c r="O396" s="67">
        <f>6.07*0.7488</f>
        <v>4.5452159999999999</v>
      </c>
      <c r="P396" s="67">
        <f>6.02*0.7488</f>
        <v>4.5077759999999998</v>
      </c>
      <c r="Q396" s="109">
        <f>5.09*0.7219</f>
        <v>3.674471</v>
      </c>
    </row>
    <row r="397" spans="1:17" ht="12" customHeight="1" x14ac:dyDescent="0.2">
      <c r="A397" s="108" t="s">
        <v>425</v>
      </c>
      <c r="B397" s="69">
        <v>1.9260810810810811</v>
      </c>
      <c r="C397" s="69">
        <v>0.77753378378378379</v>
      </c>
      <c r="D397" s="69">
        <v>1.42</v>
      </c>
      <c r="E397" s="67">
        <f>2.95*0.55</f>
        <v>1.6225000000000003</v>
      </c>
      <c r="F397" s="69">
        <v>1.22</v>
      </c>
      <c r="G397" s="69">
        <v>1.85</v>
      </c>
      <c r="H397" s="67">
        <f>3.24*0.5</f>
        <v>1.62</v>
      </c>
      <c r="I397" s="67">
        <v>3.2</v>
      </c>
      <c r="J397" s="135">
        <v>2.3831488314883149</v>
      </c>
      <c r="K397" s="135">
        <v>2.9674046740467408</v>
      </c>
      <c r="L397" s="67">
        <f>1.2002/0.45436</f>
        <v>2.6415177392376088</v>
      </c>
      <c r="M397" s="67">
        <f>2.9*0.55</f>
        <v>1.595</v>
      </c>
      <c r="N397" s="67">
        <f>2.55*0.5</f>
        <v>1.2749999999999999</v>
      </c>
      <c r="O397" s="67">
        <f>6.21*0.7635</f>
        <v>4.7413349999999994</v>
      </c>
      <c r="P397" s="67">
        <f>5.91*0.7635</f>
        <v>4.5122849999999994</v>
      </c>
      <c r="Q397" s="109">
        <f>5.11*0.7201</f>
        <v>3.6797110000000002</v>
      </c>
    </row>
    <row r="398" spans="1:17" ht="12" customHeight="1" x14ac:dyDescent="0.2">
      <c r="A398" s="108" t="s">
        <v>426</v>
      </c>
      <c r="B398" s="69">
        <v>1.8952500000000001</v>
      </c>
      <c r="C398" s="69">
        <v>0.81356666666666666</v>
      </c>
      <c r="D398" s="69">
        <v>1.42</v>
      </c>
      <c r="E398" s="67">
        <f>3*0.55</f>
        <v>1.6500000000000001</v>
      </c>
      <c r="F398" s="69">
        <v>1.3</v>
      </c>
      <c r="G398" s="69">
        <v>1.86</v>
      </c>
      <c r="H398" s="67">
        <f>3.26*0.5</f>
        <v>1.63</v>
      </c>
      <c r="I398" s="69">
        <v>3.18</v>
      </c>
      <c r="J398" s="135">
        <v>2.33</v>
      </c>
      <c r="K398" s="135">
        <v>2.84</v>
      </c>
      <c r="L398" s="67">
        <f>1.1701/0.45436</f>
        <v>2.5752707104498636</v>
      </c>
      <c r="M398" s="67">
        <f>2.9*0.55</f>
        <v>1.595</v>
      </c>
      <c r="N398" s="67">
        <f>2.6*0.5</f>
        <v>1.3</v>
      </c>
      <c r="O398" s="67">
        <f>6.33*0.7491</f>
        <v>4.741803</v>
      </c>
      <c r="P398" s="67">
        <f>6.05*0.7491</f>
        <v>4.5320549999999997</v>
      </c>
      <c r="Q398" s="109">
        <f>5.11*0.6991</f>
        <v>3.5724010000000006</v>
      </c>
    </row>
    <row r="399" spans="1:17" ht="12" customHeight="1" x14ac:dyDescent="0.2">
      <c r="A399" s="108" t="s">
        <v>427</v>
      </c>
      <c r="B399" s="69">
        <v>1.8656388888888891</v>
      </c>
      <c r="C399" s="69">
        <v>0.83833333333333326</v>
      </c>
      <c r="D399" s="69">
        <v>1.48</v>
      </c>
      <c r="E399" s="67">
        <f>3.1*0.55</f>
        <v>1.7050000000000003</v>
      </c>
      <c r="F399" s="69">
        <v>1.37</v>
      </c>
      <c r="G399" s="69">
        <v>1.85</v>
      </c>
      <c r="H399" s="67">
        <f>3.24*0.5</f>
        <v>1.62</v>
      </c>
      <c r="I399" s="69">
        <v>3.14</v>
      </c>
      <c r="J399" s="135">
        <v>2.34</v>
      </c>
      <c r="K399" s="135">
        <v>2.85</v>
      </c>
      <c r="L399" s="67">
        <f>1.11464/0.45436</f>
        <v>2.4532089092349683</v>
      </c>
      <c r="M399" s="67">
        <f>2.95*0.55</f>
        <v>1.6225000000000003</v>
      </c>
      <c r="N399" s="67">
        <f>2.7*0.5</f>
        <v>1.35</v>
      </c>
      <c r="O399" s="67">
        <f>6.32*0.7598</f>
        <v>4.8019360000000004</v>
      </c>
      <c r="P399" s="67">
        <f>6.22*0.7598</f>
        <v>4.725956</v>
      </c>
      <c r="Q399" s="109">
        <f>5.16*0.7215</f>
        <v>3.7229400000000004</v>
      </c>
    </row>
    <row r="400" spans="1:17" ht="12" customHeight="1" x14ac:dyDescent="0.2">
      <c r="A400" s="108" t="s">
        <v>428</v>
      </c>
      <c r="B400" s="69">
        <v>1.9555218855218857</v>
      </c>
      <c r="C400" s="69">
        <v>0.91010101010101019</v>
      </c>
      <c r="D400" s="69">
        <v>1.48</v>
      </c>
      <c r="E400" s="67">
        <f>3.13*0.55</f>
        <v>1.7215</v>
      </c>
      <c r="F400" s="69">
        <v>1.42</v>
      </c>
      <c r="G400" s="69">
        <v>1.79</v>
      </c>
      <c r="H400" s="67">
        <f>3.13*0.5</f>
        <v>1.5649999999999999</v>
      </c>
      <c r="I400" s="69">
        <v>3.2</v>
      </c>
      <c r="J400" s="135">
        <v>2.4012638230647707</v>
      </c>
      <c r="K400" s="135">
        <v>3.0963665086887837</v>
      </c>
      <c r="L400" s="67">
        <f>1.117/0.45436</f>
        <v>2.458403028435602</v>
      </c>
      <c r="M400" s="67">
        <f>3*0.55</f>
        <v>1.6500000000000001</v>
      </c>
      <c r="N400" s="67">
        <f>2.7*0.5</f>
        <v>1.35</v>
      </c>
      <c r="O400" s="67">
        <f>6.48*0.7616</f>
        <v>4.9351680000000009</v>
      </c>
      <c r="P400" s="67">
        <f>6.28*0.7598</f>
        <v>4.7715440000000005</v>
      </c>
      <c r="Q400" s="109">
        <f>5.16*0.7238</f>
        <v>3.7348080000000001</v>
      </c>
    </row>
    <row r="401" spans="1:17" ht="12" customHeight="1" x14ac:dyDescent="0.2">
      <c r="A401" s="108" t="s">
        <v>429</v>
      </c>
      <c r="B401" s="69">
        <v>1.9658703071672352</v>
      </c>
      <c r="C401" s="69">
        <v>0.95068259385665532</v>
      </c>
      <c r="D401" s="69" t="s">
        <v>35</v>
      </c>
      <c r="E401" s="67">
        <f>3.2*0.55</f>
        <v>1.7600000000000002</v>
      </c>
      <c r="F401" s="71">
        <v>1.44</v>
      </c>
      <c r="G401" s="71">
        <v>1.78</v>
      </c>
      <c r="H401" s="65">
        <f>3.15*0.5</f>
        <v>1.575</v>
      </c>
      <c r="I401" s="71">
        <v>3.16</v>
      </c>
      <c r="J401" s="136">
        <v>2.3846877941637903</v>
      </c>
      <c r="K401" s="136">
        <v>3.0749921556322564</v>
      </c>
      <c r="L401" s="65">
        <f>1.1892/0.45436</f>
        <v>2.6173078616075358</v>
      </c>
      <c r="M401" s="65">
        <f>3.05*0.55</f>
        <v>1.6775</v>
      </c>
      <c r="N401" s="65">
        <f>2.85*0.5</f>
        <v>1.425</v>
      </c>
      <c r="O401" s="65">
        <f>6.62*0.7669</f>
        <v>5.0768780000000007</v>
      </c>
      <c r="P401" s="65">
        <f>6.31*0.7694</f>
        <v>4.854914</v>
      </c>
      <c r="Q401" s="109">
        <f>5.14*0.7214</f>
        <v>3.7079960000000001</v>
      </c>
    </row>
    <row r="402" spans="1:17" ht="12" customHeight="1" x14ac:dyDescent="0.2">
      <c r="A402" s="108" t="s">
        <v>430</v>
      </c>
      <c r="B402" s="69">
        <v>1.9398327759197325</v>
      </c>
      <c r="C402" s="69">
        <v>0.92157190635451514</v>
      </c>
      <c r="D402" s="69" t="s">
        <v>35</v>
      </c>
      <c r="E402" s="70">
        <f>3.1*0.55</f>
        <v>1.7050000000000003</v>
      </c>
      <c r="F402" s="67">
        <v>1.42</v>
      </c>
      <c r="G402" s="67">
        <v>1.78</v>
      </c>
      <c r="H402" s="67">
        <f>3.02*0.5</f>
        <v>1.51</v>
      </c>
      <c r="I402" s="67">
        <v>3.12</v>
      </c>
      <c r="J402" s="134">
        <v>2.37</v>
      </c>
      <c r="K402" s="134">
        <v>3.15</v>
      </c>
      <c r="L402" s="65">
        <f>1.1835/0.45436</f>
        <v>2.6047627431992253</v>
      </c>
      <c r="M402" s="67">
        <f>3*0.55</f>
        <v>1.6500000000000001</v>
      </c>
      <c r="N402" s="67">
        <f>2.8*0.5</f>
        <v>1.4</v>
      </c>
      <c r="O402" s="65">
        <f>6.71*0.7683</f>
        <v>5.1552929999999995</v>
      </c>
      <c r="P402" s="65">
        <f>6.43*0.7683</f>
        <v>4.940169</v>
      </c>
      <c r="Q402" s="109">
        <f>5.14*0.7289</f>
        <v>3.7465459999999999</v>
      </c>
    </row>
    <row r="403" spans="1:17" ht="12" customHeight="1" x14ac:dyDescent="0.2">
      <c r="A403" s="108" t="s">
        <v>431</v>
      </c>
      <c r="B403" s="69">
        <v>1.9327852348993289</v>
      </c>
      <c r="C403" s="67">
        <v>0.90815436241610747</v>
      </c>
      <c r="D403" s="69" t="s">
        <v>35</v>
      </c>
      <c r="E403" s="70">
        <f>3.05*0.55</f>
        <v>1.6775</v>
      </c>
      <c r="F403" s="67">
        <v>1.4</v>
      </c>
      <c r="G403" s="67">
        <v>1.73</v>
      </c>
      <c r="H403" s="67">
        <f>2.98*0.5</f>
        <v>1.49</v>
      </c>
      <c r="I403" s="67">
        <v>3.05</v>
      </c>
      <c r="J403" s="134">
        <v>2.33</v>
      </c>
      <c r="K403" s="134">
        <v>3.09</v>
      </c>
      <c r="L403" s="67">
        <f>1.1751/0.45436</f>
        <v>2.5862752002817153</v>
      </c>
      <c r="M403" s="67">
        <f>3.05*0.55</f>
        <v>1.6775</v>
      </c>
      <c r="N403" s="67">
        <f>2.85*0.5</f>
        <v>1.425</v>
      </c>
      <c r="O403" s="67">
        <f>6.38*0.7611</f>
        <v>4.8558180000000002</v>
      </c>
      <c r="P403" s="67">
        <f>6.12*0.7611</f>
        <v>4.6579319999999997</v>
      </c>
      <c r="Q403" s="109">
        <f>5.16*0.7299</f>
        <v>3.7662840000000002</v>
      </c>
    </row>
    <row r="404" spans="1:17" ht="12" customHeight="1" x14ac:dyDescent="0.2">
      <c r="A404" s="108" t="s">
        <v>432</v>
      </c>
      <c r="B404" s="69">
        <v>1.9227486559139784</v>
      </c>
      <c r="C404" s="69">
        <v>0.94573252688172049</v>
      </c>
      <c r="D404" s="69" t="s">
        <v>35</v>
      </c>
      <c r="E404" s="70">
        <f>3*0.55</f>
        <v>1.6500000000000001</v>
      </c>
      <c r="F404" s="67">
        <v>1.37</v>
      </c>
      <c r="G404" s="67">
        <v>1.72</v>
      </c>
      <c r="H404" s="67">
        <f>2.96*0.5</f>
        <v>1.48</v>
      </c>
      <c r="I404" s="67">
        <v>3.06</v>
      </c>
      <c r="J404" s="134">
        <v>2.36</v>
      </c>
      <c r="K404" s="134">
        <v>3.5</v>
      </c>
      <c r="L404" s="67">
        <f>1.146/0.45436</f>
        <v>2.5222290694603395</v>
      </c>
      <c r="M404" s="67">
        <f>3.05*0.55</f>
        <v>1.6775</v>
      </c>
      <c r="N404" s="67">
        <f>2.85*0.5</f>
        <v>1.425</v>
      </c>
      <c r="O404" s="67">
        <f>6.3*0.7551</f>
        <v>4.7571300000000001</v>
      </c>
      <c r="P404" s="67">
        <f>6.12*0.7551</f>
        <v>4.6212119999999999</v>
      </c>
      <c r="Q404" s="109">
        <f>5.2*0.7284</f>
        <v>3.7876800000000004</v>
      </c>
    </row>
    <row r="405" spans="1:17" ht="12" customHeight="1" x14ac:dyDescent="0.2">
      <c r="A405" s="108" t="s">
        <v>433</v>
      </c>
      <c r="B405" s="69">
        <v>1.9168166666666666</v>
      </c>
      <c r="C405" s="69">
        <v>0.97153333333333336</v>
      </c>
      <c r="D405" s="69" t="s">
        <v>35</v>
      </c>
      <c r="E405" s="70">
        <f>2.95*0.55</f>
        <v>1.6225000000000003</v>
      </c>
      <c r="F405" s="67">
        <v>1.35</v>
      </c>
      <c r="G405" s="67">
        <v>1.65</v>
      </c>
      <c r="H405" s="67">
        <f>2.88*0.5</f>
        <v>1.44</v>
      </c>
      <c r="I405" s="67">
        <v>3.02</v>
      </c>
      <c r="J405" s="134">
        <v>2.4700000000000002</v>
      </c>
      <c r="K405" s="134">
        <v>3.66</v>
      </c>
      <c r="L405" s="67">
        <f>1.0968/0.45436</f>
        <v>2.413944889514922</v>
      </c>
      <c r="M405" s="67">
        <f>3.2*0.55</f>
        <v>1.7600000000000002</v>
      </c>
      <c r="N405" s="67">
        <f>2.9*0.5</f>
        <v>1.45</v>
      </c>
      <c r="O405" s="67">
        <f>6.13*0.7642</f>
        <v>4.6845460000000001</v>
      </c>
      <c r="P405" s="67">
        <f>6.31*0.7642</f>
        <v>4.8221019999999992</v>
      </c>
      <c r="Q405" s="109">
        <f>5.2*0.7395</f>
        <v>3.8454000000000002</v>
      </c>
    </row>
    <row r="406" spans="1:17" ht="12" customHeight="1" x14ac:dyDescent="0.2">
      <c r="A406" s="108" t="s">
        <v>434</v>
      </c>
      <c r="B406" s="69">
        <v>1.9323441644562334</v>
      </c>
      <c r="C406" s="69">
        <v>1.0026193633952254</v>
      </c>
      <c r="D406" s="69" t="s">
        <v>35</v>
      </c>
      <c r="E406" s="70">
        <f>2.95*0.55</f>
        <v>1.6225000000000003</v>
      </c>
      <c r="F406" s="67">
        <v>1.35</v>
      </c>
      <c r="G406" s="67">
        <v>1.6</v>
      </c>
      <c r="H406" s="67">
        <f>2.79*0.5</f>
        <v>1.395</v>
      </c>
      <c r="I406" s="69">
        <v>3.06</v>
      </c>
      <c r="J406" s="135">
        <v>2.64</v>
      </c>
      <c r="K406" s="135">
        <v>3.72</v>
      </c>
      <c r="L406" s="67">
        <f>1.0502/0.45436</f>
        <v>2.3113830442820671</v>
      </c>
      <c r="M406" s="67">
        <f>3.07*0.55</f>
        <v>1.6885000000000001</v>
      </c>
      <c r="N406" s="67">
        <f>2.9*0.5</f>
        <v>1.45</v>
      </c>
      <c r="O406" s="67">
        <f>6.48*0.7511</f>
        <v>4.8671280000000001</v>
      </c>
      <c r="P406" s="67">
        <f>6.29*0.7511</f>
        <v>4.7244190000000001</v>
      </c>
      <c r="Q406" s="109">
        <f>5.16*0.73</f>
        <v>3.7667999999999999</v>
      </c>
    </row>
    <row r="407" spans="1:17" ht="12" customHeight="1" x14ac:dyDescent="0.2">
      <c r="A407" s="108" t="s">
        <v>435</v>
      </c>
      <c r="B407" s="69">
        <v>1.8868976897689769</v>
      </c>
      <c r="C407" s="67">
        <v>0.94660066006600652</v>
      </c>
      <c r="D407" s="69" t="s">
        <v>35</v>
      </c>
      <c r="E407" s="70">
        <f>2.93*0.55</f>
        <v>1.6115000000000002</v>
      </c>
      <c r="F407" s="67">
        <v>1.35</v>
      </c>
      <c r="G407" s="67">
        <v>1.63</v>
      </c>
      <c r="H407" s="67">
        <f>2.84*0.5</f>
        <v>1.42</v>
      </c>
      <c r="I407" s="67">
        <v>3.13</v>
      </c>
      <c r="J407" s="134">
        <v>2.5</v>
      </c>
      <c r="K407" s="134">
        <v>3.67</v>
      </c>
      <c r="L407" s="67">
        <f>1.0936/0.45436</f>
        <v>2.4069020160225372</v>
      </c>
      <c r="M407" s="67">
        <f>3.15*0.55</f>
        <v>1.7325000000000002</v>
      </c>
      <c r="N407" s="67">
        <f>2.85*0.5</f>
        <v>1.425</v>
      </c>
      <c r="O407" s="67">
        <f>6.84*0.7639</f>
        <v>5.2250759999999996</v>
      </c>
      <c r="P407" s="67">
        <f>6.57*0.7639</f>
        <v>5.0188230000000003</v>
      </c>
      <c r="Q407" s="109">
        <f>5.12*0.731</f>
        <v>3.7427199999999998</v>
      </c>
    </row>
    <row r="408" spans="1:17" ht="12" customHeight="1" x14ac:dyDescent="0.2">
      <c r="A408" s="108" t="s">
        <v>436</v>
      </c>
      <c r="B408" s="69">
        <v>1.8965849673202615</v>
      </c>
      <c r="C408" s="69">
        <v>1.0009150326797385</v>
      </c>
      <c r="D408" s="69" t="s">
        <v>35</v>
      </c>
      <c r="E408" s="70">
        <f>2.9*0.55</f>
        <v>1.595</v>
      </c>
      <c r="F408" s="67">
        <v>1.35</v>
      </c>
      <c r="G408" s="67">
        <v>1.63</v>
      </c>
      <c r="H408" s="67">
        <f>2.85*0.5</f>
        <v>1.425</v>
      </c>
      <c r="I408" s="69">
        <v>3.11</v>
      </c>
      <c r="J408" s="135">
        <v>2.41</v>
      </c>
      <c r="K408" s="135">
        <v>3.66</v>
      </c>
      <c r="L408" s="67">
        <f>1.0589/0.45436</f>
        <v>2.3305308565894887</v>
      </c>
      <c r="M408" s="67">
        <f>3.18*0.55</f>
        <v>1.7490000000000003</v>
      </c>
      <c r="N408" s="67">
        <f>2.9*0.5</f>
        <v>1.45</v>
      </c>
      <c r="O408" s="67">
        <f>6.52*0.7628</f>
        <v>4.9734559999999997</v>
      </c>
      <c r="P408" s="67">
        <f>6.27*0.7628</f>
        <v>4.782756</v>
      </c>
      <c r="Q408" s="109">
        <f>5.08*0.7252</f>
        <v>3.6840159999999997</v>
      </c>
    </row>
    <row r="409" spans="1:17" ht="12" customHeight="1" x14ac:dyDescent="0.2">
      <c r="A409" s="108" t="s">
        <v>437</v>
      </c>
      <c r="B409" s="69">
        <v>1.8371617161716172</v>
      </c>
      <c r="C409" s="67">
        <v>0.9442574257425741</v>
      </c>
      <c r="D409" s="69" t="s">
        <v>35</v>
      </c>
      <c r="E409" s="70">
        <f>2.9*0.55</f>
        <v>1.595</v>
      </c>
      <c r="F409" s="67">
        <v>1.35</v>
      </c>
      <c r="G409" s="67">
        <v>1.65</v>
      </c>
      <c r="H409" s="67">
        <f>2.88*0.5</f>
        <v>1.44</v>
      </c>
      <c r="I409" s="67">
        <v>3.14</v>
      </c>
      <c r="J409" s="134">
        <v>2.41</v>
      </c>
      <c r="K409" s="134">
        <v>3.64</v>
      </c>
      <c r="L409" s="67">
        <f>1.0265/0.45436</f>
        <v>2.2592217624790916</v>
      </c>
      <c r="M409" s="67">
        <f>3.18*0.55</f>
        <v>1.7490000000000003</v>
      </c>
      <c r="N409" s="67">
        <f>2.9*0.5</f>
        <v>1.45</v>
      </c>
      <c r="O409" s="67">
        <f>6.25*0.7578</f>
        <v>4.7362500000000001</v>
      </c>
      <c r="P409" s="67">
        <f>6.14*0.7578</f>
        <v>4.6528919999999996</v>
      </c>
      <c r="Q409" s="109">
        <f>5.34*0.7151</f>
        <v>3.8186339999999999</v>
      </c>
    </row>
    <row r="410" spans="1:17" ht="12" customHeight="1" x14ac:dyDescent="0.2">
      <c r="A410" s="108" t="s">
        <v>438</v>
      </c>
      <c r="B410" s="69">
        <v>1.8448006644518271</v>
      </c>
      <c r="C410" s="67">
        <v>0.94451827242524911</v>
      </c>
      <c r="D410" s="69" t="s">
        <v>35</v>
      </c>
      <c r="E410" s="70">
        <f>2.87*0.55</f>
        <v>1.5785000000000002</v>
      </c>
      <c r="F410" s="67">
        <v>1.35</v>
      </c>
      <c r="G410" s="67">
        <v>1.65</v>
      </c>
      <c r="H410" s="67">
        <f>2.89*0.5</f>
        <v>1.4450000000000001</v>
      </c>
      <c r="I410" s="67">
        <v>3.1339999999999999</v>
      </c>
      <c r="J410" s="134">
        <v>2.2799999999999998</v>
      </c>
      <c r="K410" s="134">
        <v>3.56</v>
      </c>
      <c r="L410" s="67">
        <f>1.009/0.45436</f>
        <v>2.2207060480676115</v>
      </c>
      <c r="M410" s="67">
        <f>3.1*0.55</f>
        <v>1.7050000000000003</v>
      </c>
      <c r="N410" s="67">
        <f>2.8*0.5</f>
        <v>1.4</v>
      </c>
      <c r="O410" s="67">
        <f>6.17*0.7561</f>
        <v>4.6651369999999996</v>
      </c>
      <c r="P410" s="67">
        <f>5.99*0.7561</f>
        <v>4.529039</v>
      </c>
      <c r="Q410" s="109">
        <f>5.28*0.7083</f>
        <v>3.7398240000000005</v>
      </c>
    </row>
    <row r="411" spans="1:17" ht="12.75" customHeight="1" x14ac:dyDescent="0.2">
      <c r="A411" s="108" t="s">
        <v>439</v>
      </c>
      <c r="B411" s="69">
        <v>1.821</v>
      </c>
      <c r="C411" s="69">
        <v>0.93884105960264908</v>
      </c>
      <c r="D411" s="69" t="s">
        <v>35</v>
      </c>
      <c r="E411" s="70">
        <f>2.87*0.55</f>
        <v>1.5785000000000002</v>
      </c>
      <c r="F411" s="67">
        <v>1.35</v>
      </c>
      <c r="G411" s="67">
        <v>1.65</v>
      </c>
      <c r="H411" s="67">
        <f>2.88*0.5</f>
        <v>1.44</v>
      </c>
      <c r="I411" s="69">
        <v>3.17</v>
      </c>
      <c r="J411" s="135">
        <v>2.31</v>
      </c>
      <c r="K411" s="135">
        <v>3.5962145110410098</v>
      </c>
      <c r="L411" s="67">
        <f>0.9759/0.45436</f>
        <v>2.1478563253807552</v>
      </c>
      <c r="M411" s="67">
        <f>3.05*0.55</f>
        <v>1.6775</v>
      </c>
      <c r="N411" s="67">
        <f>2.8*0.5</f>
        <v>1.4</v>
      </c>
      <c r="O411" s="67">
        <f>5.93*0.7626</f>
        <v>4.5222179999999996</v>
      </c>
      <c r="P411" s="67">
        <f>5.78*0.7626</f>
        <v>4.4078280000000003</v>
      </c>
      <c r="Q411" s="109">
        <f>5.26*0.7201</f>
        <v>3.7877259999999997</v>
      </c>
    </row>
    <row r="412" spans="1:17" ht="12" customHeight="1" x14ac:dyDescent="0.2">
      <c r="A412" s="108" t="s">
        <v>440</v>
      </c>
      <c r="B412" s="69">
        <v>1.8217265831134561</v>
      </c>
      <c r="C412" s="67">
        <v>0.91546833773087066</v>
      </c>
      <c r="D412" s="69" t="s">
        <v>35</v>
      </c>
      <c r="E412" s="70">
        <f>2.83*0.55</f>
        <v>1.5565000000000002</v>
      </c>
      <c r="F412" s="67">
        <v>1.36</v>
      </c>
      <c r="G412" s="67">
        <v>1.7</v>
      </c>
      <c r="H412" s="67">
        <f>2.96*0.5</f>
        <v>1.48</v>
      </c>
      <c r="I412" s="67">
        <v>3.15</v>
      </c>
      <c r="J412" s="134">
        <v>2.33</v>
      </c>
      <c r="K412" s="134">
        <v>3.66</v>
      </c>
      <c r="L412" s="67">
        <f>0.9924/0.45436</f>
        <v>2.1841711418258649</v>
      </c>
      <c r="M412" s="67">
        <f>3.1*0.55</f>
        <v>1.7050000000000003</v>
      </c>
      <c r="N412" s="67">
        <f>2.9*0.5</f>
        <v>1.45</v>
      </c>
      <c r="O412" s="67">
        <f>6.02*0.7586</f>
        <v>4.5667720000000003</v>
      </c>
      <c r="P412" s="67">
        <f>5.68*0.7586</f>
        <v>4.3088480000000002</v>
      </c>
      <c r="Q412" s="109">
        <f>5.24*0.7119</f>
        <v>3.730356</v>
      </c>
    </row>
    <row r="413" spans="1:17" ht="12" customHeight="1" x14ac:dyDescent="0.2">
      <c r="A413" s="108" t="s">
        <v>441</v>
      </c>
      <c r="B413" s="69">
        <v>1.8782813536828136</v>
      </c>
      <c r="C413" s="67">
        <v>0.9602521566025215</v>
      </c>
      <c r="D413" s="69" t="s">
        <v>35</v>
      </c>
      <c r="E413" s="70">
        <f>2.93*0.55</f>
        <v>1.6115000000000002</v>
      </c>
      <c r="F413" s="67">
        <v>1.38</v>
      </c>
      <c r="G413" s="67">
        <v>1.62</v>
      </c>
      <c r="H413" s="67">
        <f>2.83*0.5</f>
        <v>1.415</v>
      </c>
      <c r="I413" s="67">
        <v>3.13</v>
      </c>
      <c r="J413" s="134">
        <v>2.36</v>
      </c>
      <c r="K413" s="134">
        <v>3.73</v>
      </c>
      <c r="L413" s="67">
        <f>1.0415/0.45436</f>
        <v>2.292235231974646</v>
      </c>
      <c r="M413" s="67">
        <f>3.22*0.55</f>
        <v>1.7710000000000004</v>
      </c>
      <c r="N413" s="67">
        <f>2.92*0.5</f>
        <v>1.46</v>
      </c>
      <c r="O413" s="67">
        <f>5.8*0.768</f>
        <v>4.4543999999999997</v>
      </c>
      <c r="P413" s="67">
        <f>5.52*0.768</f>
        <v>4.2393599999999996</v>
      </c>
      <c r="Q413" s="109">
        <f>5.2*0.7324</f>
        <v>3.8084800000000003</v>
      </c>
    </row>
    <row r="414" spans="1:17" ht="12" customHeight="1" x14ac:dyDescent="0.2">
      <c r="A414" s="108" t="s">
        <v>444</v>
      </c>
      <c r="B414" s="69">
        <v>1.85</v>
      </c>
      <c r="C414" s="69">
        <v>0.95513157894736855</v>
      </c>
      <c r="D414" s="69" t="s">
        <v>35</v>
      </c>
      <c r="E414" s="70">
        <f>2.97*0.55</f>
        <v>1.6335000000000002</v>
      </c>
      <c r="F414" s="67">
        <v>1.4</v>
      </c>
      <c r="G414" s="67">
        <v>1.64</v>
      </c>
      <c r="H414" s="67">
        <f>2.87*0.5</f>
        <v>1.4350000000000001</v>
      </c>
      <c r="I414" s="67">
        <v>2.92</v>
      </c>
      <c r="J414" s="134">
        <v>2.17</v>
      </c>
      <c r="K414" s="134">
        <v>3.43</v>
      </c>
      <c r="L414" s="67">
        <f>1.0431/0.45436</f>
        <v>2.2957566687208382</v>
      </c>
      <c r="M414" s="67">
        <f>3.2*0.55</f>
        <v>1.7600000000000002</v>
      </c>
      <c r="N414" s="67">
        <f>2.9*0.5</f>
        <v>1.45</v>
      </c>
      <c r="O414" s="67">
        <f>5.82*0.7543</f>
        <v>4.3900259999999998</v>
      </c>
      <c r="P414" s="67">
        <f>5.5*0.7543</f>
        <v>4.1486499999999999</v>
      </c>
      <c r="Q414" s="109">
        <f>5.1*0.7083</f>
        <v>3.61233</v>
      </c>
    </row>
    <row r="415" spans="1:17" ht="12" customHeight="1" x14ac:dyDescent="0.2">
      <c r="A415" s="108" t="s">
        <v>445</v>
      </c>
      <c r="B415" s="69">
        <v>1.85</v>
      </c>
      <c r="C415" s="69">
        <v>0.91474025974025974</v>
      </c>
      <c r="D415" s="69" t="s">
        <v>35</v>
      </c>
      <c r="E415" s="70">
        <f>2.9*0.55</f>
        <v>1.595</v>
      </c>
      <c r="F415" s="67">
        <v>1.39</v>
      </c>
      <c r="G415" s="69">
        <v>1.53</v>
      </c>
      <c r="H415" s="67">
        <f>2.67*0.5</f>
        <v>1.335</v>
      </c>
      <c r="I415" s="69">
        <v>2.96</v>
      </c>
      <c r="J415" s="135">
        <v>2.1800000000000002</v>
      </c>
      <c r="K415" s="135">
        <v>3.45</v>
      </c>
      <c r="L415" s="67">
        <f>1.037/0.45436</f>
        <v>2.2823311911259792</v>
      </c>
      <c r="M415" s="67">
        <f>3.2*0.55</f>
        <v>1.7600000000000002</v>
      </c>
      <c r="N415" s="67">
        <f>2.95*0.5</f>
        <v>1.4750000000000001</v>
      </c>
      <c r="O415" s="67">
        <f>5.78*0.7416</f>
        <v>4.286448</v>
      </c>
      <c r="P415" s="67">
        <f>5.56*0.7416</f>
        <v>4.1232959999999999</v>
      </c>
      <c r="Q415" s="109">
        <f>5.1*0.7032</f>
        <v>3.5863200000000002</v>
      </c>
    </row>
    <row r="416" spans="1:17" ht="12" customHeight="1" x14ac:dyDescent="0.2">
      <c r="A416" s="108" t="s">
        <v>443</v>
      </c>
      <c r="B416" s="69">
        <v>1.85</v>
      </c>
      <c r="C416" s="67">
        <v>0.89748873148744357</v>
      </c>
      <c r="D416" s="69" t="s">
        <v>35</v>
      </c>
      <c r="E416" s="70">
        <f>2.9*0.55</f>
        <v>1.595</v>
      </c>
      <c r="F416" s="67">
        <v>1.38</v>
      </c>
      <c r="G416" s="67">
        <v>1.61</v>
      </c>
      <c r="H416" s="67">
        <f>2.8*0.5</f>
        <v>1.4</v>
      </c>
      <c r="I416" s="67">
        <v>2.93</v>
      </c>
      <c r="J416" s="134">
        <v>2.2000000000000002</v>
      </c>
      <c r="K416" s="134">
        <v>3.5</v>
      </c>
      <c r="L416" s="67">
        <f>1.0791/0.45436</f>
        <v>2.3749889955101682</v>
      </c>
      <c r="M416" s="67">
        <f>3.25*0.55</f>
        <v>1.7875000000000001</v>
      </c>
      <c r="N416" s="67">
        <f>3*0.5</f>
        <v>1.5</v>
      </c>
      <c r="O416" s="67">
        <f>5.78*0.7409</f>
        <v>4.2824020000000003</v>
      </c>
      <c r="P416" s="67">
        <f>5.61*0.7409</f>
        <v>4.1564490000000003</v>
      </c>
      <c r="Q416" s="109">
        <f>5.08*0.7008</f>
        <v>3.5600640000000001</v>
      </c>
    </row>
    <row r="417" spans="1:18" ht="12" customHeight="1" x14ac:dyDescent="0.2">
      <c r="A417" s="108" t="s">
        <v>442</v>
      </c>
      <c r="B417" s="69">
        <v>1.85</v>
      </c>
      <c r="C417" s="69">
        <v>0.85974683544303787</v>
      </c>
      <c r="D417" s="69" t="s">
        <v>35</v>
      </c>
      <c r="E417" s="70">
        <f>2.83*0.55</f>
        <v>1.5565000000000002</v>
      </c>
      <c r="F417" s="69">
        <v>1.31</v>
      </c>
      <c r="G417" s="69">
        <v>1.63</v>
      </c>
      <c r="H417" s="67">
        <f>2.78*0.5</f>
        <v>1.39</v>
      </c>
      <c r="I417" s="69">
        <v>2.87</v>
      </c>
      <c r="J417" s="135">
        <v>2.1613832853025934</v>
      </c>
      <c r="K417" s="135">
        <v>3.429394812680115</v>
      </c>
      <c r="L417" s="67">
        <f>1.1105/0.45436</f>
        <v>2.4440971916541949</v>
      </c>
      <c r="M417" s="67">
        <f>3.05*0.55</f>
        <v>1.6775</v>
      </c>
      <c r="N417" s="67">
        <f>2.9*0.5</f>
        <v>1.45</v>
      </c>
      <c r="O417" s="67">
        <f>5.98*0.741</f>
        <v>4.4311800000000003</v>
      </c>
      <c r="P417" s="67">
        <f>5.41*0.741</f>
        <v>4.0088100000000004</v>
      </c>
      <c r="Q417" s="109">
        <f>5.12*0.707</f>
        <v>3.6198399999999999</v>
      </c>
    </row>
    <row r="418" spans="1:18" ht="12" customHeight="1" x14ac:dyDescent="0.2">
      <c r="A418" s="108" t="s">
        <v>446</v>
      </c>
      <c r="B418" s="69">
        <v>1.89</v>
      </c>
      <c r="C418" s="69">
        <v>0.84</v>
      </c>
      <c r="D418" s="69" t="s">
        <v>35</v>
      </c>
      <c r="E418" s="70">
        <f>2.75*0.55</f>
        <v>1.5125000000000002</v>
      </c>
      <c r="F418" s="69">
        <v>1.27</v>
      </c>
      <c r="G418" s="69">
        <v>1.62</v>
      </c>
      <c r="H418" s="67">
        <f>2.76*0.5</f>
        <v>1.38</v>
      </c>
      <c r="I418" s="69">
        <v>2.92</v>
      </c>
      <c r="J418" s="135">
        <v>2.1994134897360702</v>
      </c>
      <c r="K418" s="135">
        <v>3.4897360703812317</v>
      </c>
      <c r="L418" s="67">
        <f>1.1403/0.45436</f>
        <v>2.5096839510520295</v>
      </c>
      <c r="M418" s="67">
        <f>3.15*0.55</f>
        <v>1.7325000000000002</v>
      </c>
      <c r="N418" s="67">
        <f>2.8*0.5</f>
        <v>1.4</v>
      </c>
      <c r="O418" s="67">
        <f>5.8*0.7461</f>
        <v>4.3273799999999998</v>
      </c>
      <c r="P418" s="67">
        <f>5.41*0.7461</f>
        <v>4.0364009999999997</v>
      </c>
      <c r="Q418" s="109">
        <f>5.14*0.7156</f>
        <v>3.6781839999999999</v>
      </c>
    </row>
    <row r="419" spans="1:18" ht="12" customHeight="1" x14ac:dyDescent="0.2">
      <c r="A419" s="108" t="s">
        <v>447</v>
      </c>
      <c r="B419" s="69">
        <v>1.9</v>
      </c>
      <c r="C419" s="69">
        <v>0.78300000000000003</v>
      </c>
      <c r="D419" s="69" t="s">
        <v>35</v>
      </c>
      <c r="E419" s="70">
        <f>2.77*0.55</f>
        <v>1.5235000000000001</v>
      </c>
      <c r="F419" s="69">
        <v>1.27</v>
      </c>
      <c r="G419" s="69">
        <v>1.65</v>
      </c>
      <c r="H419" s="67">
        <f>2.84*0.5</f>
        <v>1.42</v>
      </c>
      <c r="I419" s="69">
        <v>2.93</v>
      </c>
      <c r="J419" s="135">
        <v>2.15</v>
      </c>
      <c r="K419" s="135">
        <v>3.72</v>
      </c>
      <c r="L419" s="67">
        <f>1.0952/0.45436</f>
        <v>2.4104234527687298</v>
      </c>
      <c r="M419" s="67">
        <f>3.1*0.55</f>
        <v>1.7050000000000003</v>
      </c>
      <c r="N419" s="67">
        <f>2.8*0.5</f>
        <v>1.4</v>
      </c>
      <c r="O419" s="67">
        <f>5.75*0.7306</f>
        <v>4.2009499999999997</v>
      </c>
      <c r="P419" s="67">
        <f>5.38*0.7306</f>
        <v>3.930628</v>
      </c>
      <c r="Q419" s="109">
        <f>5.07*0.6929</f>
        <v>3.5130029999999999</v>
      </c>
    </row>
    <row r="420" spans="1:18" ht="12" customHeight="1" x14ac:dyDescent="0.2">
      <c r="A420" s="108" t="s">
        <v>448</v>
      </c>
      <c r="B420" s="69">
        <v>1.92</v>
      </c>
      <c r="C420" s="69">
        <v>0.77800000000000002</v>
      </c>
      <c r="D420" s="69">
        <v>1.44</v>
      </c>
      <c r="E420" s="70">
        <f>2.77*0.55</f>
        <v>1.5235000000000001</v>
      </c>
      <c r="F420" s="69">
        <v>1.27</v>
      </c>
      <c r="G420" s="69">
        <v>1.63</v>
      </c>
      <c r="H420" s="67">
        <f>2.81*0.5</f>
        <v>1.405</v>
      </c>
      <c r="I420" s="69">
        <v>3.03</v>
      </c>
      <c r="J420" s="135">
        <v>2.217125382262997</v>
      </c>
      <c r="K420" s="135">
        <v>3.8990825688073394</v>
      </c>
      <c r="L420" s="67">
        <f>1.1139/0.45436</f>
        <v>2.4515802447398536</v>
      </c>
      <c r="M420" s="67">
        <f>3.12*0.55</f>
        <v>1.7160000000000002</v>
      </c>
      <c r="N420" s="67">
        <f>2.9*0.5</f>
        <v>1.45</v>
      </c>
      <c r="O420" s="69" t="s">
        <v>132</v>
      </c>
      <c r="P420" s="69" t="s">
        <v>132</v>
      </c>
      <c r="Q420" s="110" t="s">
        <v>132</v>
      </c>
    </row>
    <row r="421" spans="1:18" ht="12" customHeight="1" x14ac:dyDescent="0.2">
      <c r="A421" s="108" t="s">
        <v>449</v>
      </c>
      <c r="B421" s="69">
        <v>1.91</v>
      </c>
      <c r="C421" s="69">
        <v>0.79300000000000004</v>
      </c>
      <c r="D421" s="69">
        <v>1.44</v>
      </c>
      <c r="E421" s="70">
        <f>2.85*0.55</f>
        <v>1.5675000000000001</v>
      </c>
      <c r="F421" s="69">
        <v>1.27</v>
      </c>
      <c r="G421" s="69">
        <v>1.67</v>
      </c>
      <c r="H421" s="67">
        <f>2.88*0.5</f>
        <v>1.44</v>
      </c>
      <c r="I421" s="69">
        <v>3.07</v>
      </c>
      <c r="J421" s="135">
        <v>2.2307692307692308</v>
      </c>
      <c r="K421" s="135">
        <v>3.9230769230769229</v>
      </c>
      <c r="L421" s="67">
        <f>1.1514/0.45436</f>
        <v>2.5341139184787393</v>
      </c>
      <c r="M421" s="67">
        <f>3.05*0.55</f>
        <v>1.6775</v>
      </c>
      <c r="N421" s="67">
        <f>2.7*0.5</f>
        <v>1.35</v>
      </c>
      <c r="O421" s="69" t="s">
        <v>132</v>
      </c>
      <c r="P421" s="69" t="s">
        <v>132</v>
      </c>
      <c r="Q421" s="110" t="s">
        <v>132</v>
      </c>
    </row>
    <row r="422" spans="1:18" s="75" customFormat="1" ht="18.75" customHeight="1" x14ac:dyDescent="0.2">
      <c r="A422" s="111" t="s">
        <v>450</v>
      </c>
      <c r="B422" s="72">
        <v>1.81</v>
      </c>
      <c r="C422" s="72">
        <v>0.79600000000000004</v>
      </c>
      <c r="D422" s="72">
        <v>1.45</v>
      </c>
      <c r="E422" s="73">
        <f>2.88*0.55</f>
        <v>1.5840000000000001</v>
      </c>
      <c r="F422" s="72">
        <v>1.28</v>
      </c>
      <c r="G422" s="72">
        <v>1.69</v>
      </c>
      <c r="H422" s="72">
        <f>2.91*0.5</f>
        <v>1.4550000000000001</v>
      </c>
      <c r="I422" s="72">
        <v>3.11</v>
      </c>
      <c r="J422" s="137">
        <v>2.2400000000000002</v>
      </c>
      <c r="K422" s="137">
        <v>3.74</v>
      </c>
      <c r="L422" s="72">
        <f>1.1767/0.45436</f>
        <v>2.5897966370279075</v>
      </c>
      <c r="M422" s="72">
        <f>3.05*0.55</f>
        <v>1.6775</v>
      </c>
      <c r="N422" s="72">
        <f>2.7*0.5</f>
        <v>1.35</v>
      </c>
      <c r="O422" s="72" t="s">
        <v>132</v>
      </c>
      <c r="P422" s="72" t="s">
        <v>132</v>
      </c>
      <c r="Q422" s="112" t="s">
        <v>132</v>
      </c>
      <c r="R422" s="74"/>
    </row>
    <row r="423" spans="1:18" s="75" customFormat="1" ht="15.75" customHeight="1" x14ac:dyDescent="0.2">
      <c r="A423" s="111" t="s">
        <v>451</v>
      </c>
      <c r="B423" s="72">
        <v>1.79</v>
      </c>
      <c r="C423" s="72">
        <v>0.80579268292682937</v>
      </c>
      <c r="D423" s="72">
        <v>1.45</v>
      </c>
      <c r="E423" s="73">
        <f>2.9*0.55</f>
        <v>1.595</v>
      </c>
      <c r="F423" s="72">
        <v>1.28</v>
      </c>
      <c r="G423" s="72">
        <v>1.74</v>
      </c>
      <c r="H423" s="72">
        <f>3.02*0.5</f>
        <v>1.51</v>
      </c>
      <c r="I423" s="72">
        <v>3.11</v>
      </c>
      <c r="J423" s="137">
        <v>2.2429906542056077</v>
      </c>
      <c r="K423" s="137">
        <v>3.753894080996885</v>
      </c>
      <c r="L423" s="72">
        <f>1.1744/0.45436</f>
        <v>2.5847345717052561</v>
      </c>
      <c r="M423" s="72">
        <f>3.15*0.55</f>
        <v>1.7325000000000002</v>
      </c>
      <c r="N423" s="72">
        <f>2.8*0.5</f>
        <v>1.4</v>
      </c>
      <c r="O423" s="72" t="s">
        <v>132</v>
      </c>
      <c r="P423" s="72" t="s">
        <v>132</v>
      </c>
      <c r="Q423" s="112" t="s">
        <v>132</v>
      </c>
      <c r="R423" s="74"/>
    </row>
    <row r="424" spans="1:18" s="75" customFormat="1" ht="15.75" customHeight="1" x14ac:dyDescent="0.2">
      <c r="A424" s="111" t="s">
        <v>452</v>
      </c>
      <c r="B424" s="72">
        <v>1.83</v>
      </c>
      <c r="C424" s="72">
        <v>0.77</v>
      </c>
      <c r="D424" s="72">
        <v>1.45</v>
      </c>
      <c r="E424" s="73">
        <f>2.9*0.55</f>
        <v>1.595</v>
      </c>
      <c r="F424" s="72">
        <v>1.25</v>
      </c>
      <c r="G424" s="72">
        <v>1.73</v>
      </c>
      <c r="H424" s="72">
        <f>3.01*0.5</f>
        <v>1.5049999999999999</v>
      </c>
      <c r="I424" s="72">
        <v>3.1</v>
      </c>
      <c r="J424" s="137">
        <v>2.2599999999999998</v>
      </c>
      <c r="K424" s="137">
        <v>3.79</v>
      </c>
      <c r="L424" s="72">
        <f>1.11882/0.45436</f>
        <v>2.4624086627343957</v>
      </c>
      <c r="M424" s="72">
        <f>3.15*0.55</f>
        <v>1.7325000000000002</v>
      </c>
      <c r="N424" s="72">
        <f>2.85*0.5</f>
        <v>1.425</v>
      </c>
      <c r="O424" s="72">
        <f>6.01*0.7537</f>
        <v>4.5297369999999999</v>
      </c>
      <c r="P424" s="72">
        <f>5.64*0.7537</f>
        <v>4.2508679999999996</v>
      </c>
      <c r="Q424" s="112">
        <f>5.1*0.7162</f>
        <v>3.6526199999999993</v>
      </c>
      <c r="R424" s="74"/>
    </row>
    <row r="425" spans="1:18" s="75" customFormat="1" ht="17.25" customHeight="1" x14ac:dyDescent="0.2">
      <c r="A425" s="111" t="s">
        <v>453</v>
      </c>
      <c r="B425" s="72">
        <v>1.81</v>
      </c>
      <c r="C425" s="72">
        <v>0.81100000000000005</v>
      </c>
      <c r="D425" s="72">
        <v>1.45</v>
      </c>
      <c r="E425" s="73">
        <f>2.88*0.55</f>
        <v>1.5840000000000001</v>
      </c>
      <c r="F425" s="72">
        <v>1.25</v>
      </c>
      <c r="G425" s="72">
        <v>1.74</v>
      </c>
      <c r="H425" s="72">
        <f>3.05*0.5</f>
        <v>1.5249999999999999</v>
      </c>
      <c r="I425" s="72">
        <v>3.1</v>
      </c>
      <c r="J425" s="137">
        <v>2.29</v>
      </c>
      <c r="K425" s="137">
        <v>3.83</v>
      </c>
      <c r="L425" s="72">
        <f>1.2189/0.45436</f>
        <v>2.6826745312087334</v>
      </c>
      <c r="M425" s="72">
        <f>3.2*0.55</f>
        <v>1.7600000000000002</v>
      </c>
      <c r="N425" s="72">
        <f>2.85*0.5</f>
        <v>1.425</v>
      </c>
      <c r="O425" s="72">
        <f>5.85*0.7547</f>
        <v>4.4149950000000002</v>
      </c>
      <c r="P425" s="72">
        <f>5.67*0.7547</f>
        <v>4.2791490000000003</v>
      </c>
      <c r="Q425" s="112">
        <f>5.06*0.7226</f>
        <v>3.6563559999999997</v>
      </c>
      <c r="R425" s="74"/>
    </row>
    <row r="426" spans="1:18" s="75" customFormat="1" ht="17.25" customHeight="1" x14ac:dyDescent="0.2">
      <c r="A426" s="111" t="s">
        <v>454</v>
      </c>
      <c r="B426" s="72">
        <v>1.82</v>
      </c>
      <c r="C426" s="72">
        <v>0.83699999999999997</v>
      </c>
      <c r="D426" s="72">
        <v>1.45</v>
      </c>
      <c r="E426" s="73">
        <f>2.88*0.55</f>
        <v>1.5840000000000001</v>
      </c>
      <c r="F426" s="72">
        <v>1.25</v>
      </c>
      <c r="G426" s="72">
        <v>1.75</v>
      </c>
      <c r="H426" s="72">
        <f>3.06*0.5</f>
        <v>1.53</v>
      </c>
      <c r="I426" s="72">
        <v>3.12</v>
      </c>
      <c r="J426" s="137">
        <v>2.2450288646568315</v>
      </c>
      <c r="K426" s="137">
        <v>3.79</v>
      </c>
      <c r="L426" s="72">
        <f>1.2122/0.45436</f>
        <v>2.6679285148340521</v>
      </c>
      <c r="M426" s="72">
        <f>3.2*0.55</f>
        <v>1.7600000000000002</v>
      </c>
      <c r="N426" s="72">
        <f>2.88*0.5</f>
        <v>1.44</v>
      </c>
      <c r="O426" s="72">
        <f>5.73*0.767</f>
        <v>4.3949100000000003</v>
      </c>
      <c r="P426" s="72">
        <f>5.57*0.767</f>
        <v>4.2721900000000002</v>
      </c>
      <c r="Q426" s="112">
        <f>5.06*0.73</f>
        <v>3.6937999999999995</v>
      </c>
      <c r="R426" s="74"/>
    </row>
    <row r="427" spans="1:18" s="75" customFormat="1" ht="17.25" customHeight="1" x14ac:dyDescent="0.2">
      <c r="A427" s="111" t="s">
        <v>455</v>
      </c>
      <c r="B427" s="72">
        <v>1.84</v>
      </c>
      <c r="C427" s="72">
        <v>0.85605590062111792</v>
      </c>
      <c r="D427" s="72">
        <v>1.5</v>
      </c>
      <c r="E427" s="73">
        <f>2.9*0.55</f>
        <v>1.595</v>
      </c>
      <c r="F427" s="72">
        <v>1.3</v>
      </c>
      <c r="G427" s="72">
        <v>1.76</v>
      </c>
      <c r="H427" s="72">
        <f>3.09*0.5</f>
        <v>1.5449999999999999</v>
      </c>
      <c r="I427" s="72">
        <v>3.11</v>
      </c>
      <c r="J427" s="137">
        <v>2.25</v>
      </c>
      <c r="K427" s="137">
        <v>3.79</v>
      </c>
      <c r="L427" s="72">
        <f>1.1876/0.45436</f>
        <v>2.6137864248613436</v>
      </c>
      <c r="M427" s="72">
        <f>3.2*0.55</f>
        <v>1.7600000000000002</v>
      </c>
      <c r="N427" s="72">
        <f>2.9*0.5</f>
        <v>1.45</v>
      </c>
      <c r="O427" s="72">
        <f>5.81*0.7627</f>
        <v>4.4312870000000002</v>
      </c>
      <c r="P427" s="72">
        <f>5.57*0.7627</f>
        <v>4.2482390000000008</v>
      </c>
      <c r="Q427" s="112">
        <f>5.06*0.719</f>
        <v>3.6381399999999995</v>
      </c>
      <c r="R427" s="74"/>
    </row>
    <row r="428" spans="1:18" s="75" customFormat="1" ht="17.25" customHeight="1" x14ac:dyDescent="0.2">
      <c r="A428" s="111" t="s">
        <v>456</v>
      </c>
      <c r="B428" s="72">
        <v>1.9</v>
      </c>
      <c r="C428" s="72">
        <v>0.875</v>
      </c>
      <c r="D428" s="72">
        <v>1.5</v>
      </c>
      <c r="E428" s="73">
        <f>2.92*0.55</f>
        <v>1.6060000000000001</v>
      </c>
      <c r="F428" s="72">
        <v>1.34</v>
      </c>
      <c r="G428" s="72">
        <v>1.79</v>
      </c>
      <c r="H428" s="72">
        <f>3.1*0.5</f>
        <v>1.55</v>
      </c>
      <c r="I428" s="72">
        <v>3.11</v>
      </c>
      <c r="J428" s="137">
        <v>2.37</v>
      </c>
      <c r="K428" s="137">
        <v>3.8</v>
      </c>
      <c r="L428" s="72">
        <f>1.1975/0.45436</f>
        <v>2.6355753147284093</v>
      </c>
      <c r="M428" s="72">
        <f>3.25*0.55</f>
        <v>1.7875000000000001</v>
      </c>
      <c r="N428" s="72">
        <f>2.95*0.5</f>
        <v>1.4750000000000001</v>
      </c>
      <c r="O428" s="72">
        <f>5.62*0.7699</f>
        <v>4.3268380000000004</v>
      </c>
      <c r="P428" s="72">
        <f>5.4*0.7699</f>
        <v>4.1574600000000004</v>
      </c>
      <c r="Q428" s="112">
        <f>5.06*0.7232</f>
        <v>3.6593919999999995</v>
      </c>
      <c r="R428" s="74"/>
    </row>
    <row r="429" spans="1:18" s="75" customFormat="1" ht="17.25" customHeight="1" x14ac:dyDescent="0.2">
      <c r="A429" s="111" t="s">
        <v>457</v>
      </c>
      <c r="B429" s="76">
        <v>1.93</v>
      </c>
      <c r="C429" s="72">
        <v>0.86299999999999999</v>
      </c>
      <c r="D429" s="72">
        <v>1.5</v>
      </c>
      <c r="E429" s="73">
        <f>2.85*0.55</f>
        <v>1.5675000000000001</v>
      </c>
      <c r="F429" s="72">
        <v>1.3</v>
      </c>
      <c r="G429" s="72">
        <v>1.79</v>
      </c>
      <c r="H429" s="72">
        <f>3.15*0.5</f>
        <v>1.575</v>
      </c>
      <c r="I429" s="72">
        <v>3.11</v>
      </c>
      <c r="J429" s="137">
        <v>2.36</v>
      </c>
      <c r="K429" s="137">
        <v>3.78</v>
      </c>
      <c r="L429" s="72">
        <f>1.1959/0.45436</f>
        <v>2.6320538779822167</v>
      </c>
      <c r="M429" s="72">
        <f>3.2*0.55</f>
        <v>1.7600000000000002</v>
      </c>
      <c r="N429" s="72">
        <f>2.9*0.5</f>
        <v>1.45</v>
      </c>
      <c r="O429" s="72">
        <f>5.67*0.7712</f>
        <v>4.3727039999999997</v>
      </c>
      <c r="P429" s="72">
        <f>5.36*0.7712</f>
        <v>4.1336320000000004</v>
      </c>
      <c r="Q429" s="112">
        <f>5.06*0.7227</f>
        <v>3.6568619999999998</v>
      </c>
      <c r="R429" s="74"/>
    </row>
    <row r="430" spans="1:18" s="75" customFormat="1" ht="17.25" customHeight="1" x14ac:dyDescent="0.2">
      <c r="A430" s="111" t="s">
        <v>458</v>
      </c>
      <c r="B430" s="76">
        <v>1.93</v>
      </c>
      <c r="C430" s="72">
        <v>0.89</v>
      </c>
      <c r="D430" s="72">
        <v>1.48</v>
      </c>
      <c r="E430" s="73">
        <f>2.85*0.55</f>
        <v>1.5675000000000001</v>
      </c>
      <c r="F430" s="72">
        <v>1.3</v>
      </c>
      <c r="G430" s="72">
        <v>1.78</v>
      </c>
      <c r="H430" s="72">
        <f>3.13*0.5</f>
        <v>1.5649999999999999</v>
      </c>
      <c r="I430" s="72">
        <v>3.1</v>
      </c>
      <c r="J430" s="137">
        <v>2.36</v>
      </c>
      <c r="K430" s="137">
        <v>3.77</v>
      </c>
      <c r="L430" s="72">
        <f>1.244/0.45436</f>
        <v>2.7379170701646274</v>
      </c>
      <c r="M430" s="72">
        <f>3.15*0.55</f>
        <v>1.7325000000000002</v>
      </c>
      <c r="N430" s="72">
        <f>2.9*0.5</f>
        <v>1.45</v>
      </c>
      <c r="O430" s="72">
        <f>5.48*0.7572</f>
        <v>4.1494559999999998</v>
      </c>
      <c r="P430" s="72">
        <f>5.33*0.7572</f>
        <v>4.035876</v>
      </c>
      <c r="Q430" s="112">
        <f>5.1*0.707</f>
        <v>3.6056999999999997</v>
      </c>
      <c r="R430" s="74"/>
    </row>
    <row r="431" spans="1:18" s="75" customFormat="1" ht="17.25" customHeight="1" x14ac:dyDescent="0.2">
      <c r="A431" s="111" t="s">
        <v>459</v>
      </c>
      <c r="B431" s="76">
        <v>1.91</v>
      </c>
      <c r="C431" s="72">
        <v>0.85099999999999998</v>
      </c>
      <c r="D431" s="72">
        <v>1.48</v>
      </c>
      <c r="E431" s="73">
        <f>2.82*0.55</f>
        <v>1.5509999999999999</v>
      </c>
      <c r="F431" s="72">
        <v>1.28</v>
      </c>
      <c r="G431" s="72">
        <v>1.77</v>
      </c>
      <c r="H431" s="72">
        <f>3.12*0.5</f>
        <v>1.56</v>
      </c>
      <c r="I431" s="72">
        <v>3.06</v>
      </c>
      <c r="J431" s="137">
        <v>2.34</v>
      </c>
      <c r="K431" s="137">
        <v>3.74</v>
      </c>
      <c r="L431" s="72">
        <f>1.2476/0.45436</f>
        <v>2.7458403028435603</v>
      </c>
      <c r="M431" s="72">
        <f>3.1*0.55</f>
        <v>1.7050000000000003</v>
      </c>
      <c r="N431" s="72">
        <f>2.9*0.5</f>
        <v>1.45</v>
      </c>
      <c r="O431" s="72">
        <f>5.38*0.7513</f>
        <v>4.0419939999999999</v>
      </c>
      <c r="P431" s="72">
        <f>5.41*0.7513</f>
        <v>4.064533</v>
      </c>
      <c r="Q431" s="112">
        <f>5.1*0.6903</f>
        <v>3.5205299999999999</v>
      </c>
      <c r="R431" s="74"/>
    </row>
    <row r="432" spans="1:18" s="75" customFormat="1" ht="17.25" customHeight="1" x14ac:dyDescent="0.2">
      <c r="A432" s="111" t="s">
        <v>460</v>
      </c>
      <c r="B432" s="76">
        <v>1.91</v>
      </c>
      <c r="C432" s="72">
        <v>0.86899999999999999</v>
      </c>
      <c r="D432" s="72">
        <v>1.46</v>
      </c>
      <c r="E432" s="73">
        <f>2.78*0.55</f>
        <v>1.5289999999999999</v>
      </c>
      <c r="F432" s="72">
        <v>1.25</v>
      </c>
      <c r="G432" s="72">
        <v>1.72</v>
      </c>
      <c r="H432" s="72">
        <f>2.99*0.5</f>
        <v>1.4950000000000001</v>
      </c>
      <c r="I432" s="72">
        <v>3.11</v>
      </c>
      <c r="J432" s="137">
        <v>2.37</v>
      </c>
      <c r="K432" s="137">
        <v>3.79</v>
      </c>
      <c r="L432" s="72">
        <f>1.2523/0.45436</f>
        <v>2.7561845232855005</v>
      </c>
      <c r="M432" s="72">
        <f>3.15*0.55</f>
        <v>1.7325000000000002</v>
      </c>
      <c r="N432" s="72">
        <f>2.95*0.5</f>
        <v>1.4750000000000001</v>
      </c>
      <c r="O432" s="72">
        <f>5.36*0.7679</f>
        <v>4.1159440000000007</v>
      </c>
      <c r="P432" s="72">
        <f>5.29*0.7679</f>
        <v>4.0621910000000003</v>
      </c>
      <c r="Q432" s="112">
        <f>5.15*0.6985</f>
        <v>3.5972750000000002</v>
      </c>
      <c r="R432" s="74"/>
    </row>
    <row r="433" spans="1:18" s="75" customFormat="1" ht="17.25" customHeight="1" x14ac:dyDescent="0.2">
      <c r="A433" s="111" t="s">
        <v>461</v>
      </c>
      <c r="B433" s="76">
        <v>1.93</v>
      </c>
      <c r="C433" s="76">
        <v>0.83</v>
      </c>
      <c r="D433" s="72">
        <v>1.45</v>
      </c>
      <c r="E433" s="72">
        <f>2.75*0.55</f>
        <v>1.5125000000000002</v>
      </c>
      <c r="F433" s="72">
        <v>1.24</v>
      </c>
      <c r="G433" s="72">
        <v>1.76</v>
      </c>
      <c r="H433" s="72">
        <f>3.06*0.5</f>
        <v>1.53</v>
      </c>
      <c r="I433" s="72">
        <v>3.03</v>
      </c>
      <c r="J433" s="137">
        <v>2.36</v>
      </c>
      <c r="K433" s="137">
        <v>3.78</v>
      </c>
      <c r="L433" s="72">
        <f>1.2864/0.45436</f>
        <v>2.8312351439387271</v>
      </c>
      <c r="M433" s="72">
        <f>3.15*0.55</f>
        <v>1.7325000000000002</v>
      </c>
      <c r="N433" s="72">
        <f>2.92*0.5</f>
        <v>1.46</v>
      </c>
      <c r="O433" s="72">
        <f>5.6*0.7637</f>
        <v>4.2767200000000001</v>
      </c>
      <c r="P433" s="72">
        <f>5.57*0.7637</f>
        <v>4.2538090000000004</v>
      </c>
      <c r="Q433" s="112">
        <f>5.19*0.7046</f>
        <v>3.6568740000000002</v>
      </c>
      <c r="R433" s="74"/>
    </row>
    <row r="434" spans="1:18" s="75" customFormat="1" ht="17.25" customHeight="1" x14ac:dyDescent="0.2">
      <c r="A434" s="111" t="s">
        <v>462</v>
      </c>
      <c r="B434" s="76">
        <v>1.96</v>
      </c>
      <c r="C434" s="72">
        <v>0.83299999999999996</v>
      </c>
      <c r="D434" s="72">
        <v>1.45</v>
      </c>
      <c r="E434" s="72">
        <f>2.7*0.55</f>
        <v>1.4850000000000003</v>
      </c>
      <c r="F434" s="72">
        <v>1.23</v>
      </c>
      <c r="G434" s="72">
        <v>1.73</v>
      </c>
      <c r="H434" s="72">
        <f>3.01*0.5</f>
        <v>1.5049999999999999</v>
      </c>
      <c r="I434" s="72">
        <v>2.97</v>
      </c>
      <c r="J434" s="137">
        <v>2.35</v>
      </c>
      <c r="K434" s="137">
        <v>3.75</v>
      </c>
      <c r="L434" s="72">
        <f>1.3091/0.45436</f>
        <v>2.8811955277753323</v>
      </c>
      <c r="M434" s="72">
        <f>3.15*0.55</f>
        <v>1.7325000000000002</v>
      </c>
      <c r="N434" s="72">
        <f>2.95*0.5</f>
        <v>1.4750000000000001</v>
      </c>
      <c r="O434" s="72">
        <f>5.81*0.7659</f>
        <v>4.4498790000000001</v>
      </c>
      <c r="P434" s="72">
        <f>5.39*0.7659</f>
        <v>4.1282009999999998</v>
      </c>
      <c r="Q434" s="112">
        <f>5.22*0.7008</f>
        <v>3.6581759999999997</v>
      </c>
      <c r="R434" s="74"/>
    </row>
    <row r="435" spans="1:18" s="75" customFormat="1" ht="17.25" customHeight="1" x14ac:dyDescent="0.2">
      <c r="A435" s="111" t="s">
        <v>463</v>
      </c>
      <c r="B435" s="76">
        <v>1.98</v>
      </c>
      <c r="C435" s="72">
        <v>0.84087774294670847</v>
      </c>
      <c r="D435" s="72">
        <v>1.45</v>
      </c>
      <c r="E435" s="72">
        <f>2.7*0.55</f>
        <v>1.4850000000000003</v>
      </c>
      <c r="F435" s="72">
        <v>1.23</v>
      </c>
      <c r="G435" s="72">
        <v>1.69</v>
      </c>
      <c r="H435" s="72">
        <f>2.88*0.5</f>
        <v>1.44</v>
      </c>
      <c r="I435" s="72">
        <v>2.85</v>
      </c>
      <c r="J435" s="137">
        <v>2.33</v>
      </c>
      <c r="K435" s="137">
        <v>3.73</v>
      </c>
      <c r="L435" s="72">
        <f>1.2738/0.45436</f>
        <v>2.8035038295624615</v>
      </c>
      <c r="M435" s="72">
        <f>3.1*0.55</f>
        <v>1.7050000000000003</v>
      </c>
      <c r="N435" s="72">
        <f>2.95*0.5</f>
        <v>1.4750000000000001</v>
      </c>
      <c r="O435" s="72">
        <f>5.79*0.7497</f>
        <v>4.3407629999999999</v>
      </c>
      <c r="P435" s="72">
        <f>5.68*0.7497</f>
        <v>4.2582959999999996</v>
      </c>
      <c r="Q435" s="112">
        <f>5.22*0.6934</f>
        <v>3.619548</v>
      </c>
      <c r="R435" s="74"/>
    </row>
    <row r="436" spans="1:18" s="75" customFormat="1" ht="17.25" customHeight="1" x14ac:dyDescent="0.2">
      <c r="A436" s="111" t="s">
        <v>464</v>
      </c>
      <c r="B436" s="76">
        <v>2</v>
      </c>
      <c r="C436" s="72">
        <v>0.88</v>
      </c>
      <c r="D436" s="72">
        <v>1.45</v>
      </c>
      <c r="E436" s="72">
        <f>2.7*0.55</f>
        <v>1.4850000000000003</v>
      </c>
      <c r="F436" s="72">
        <v>1.23</v>
      </c>
      <c r="G436" s="72">
        <v>1.69</v>
      </c>
      <c r="H436" s="72">
        <f>2.9*0.5</f>
        <v>1.45</v>
      </c>
      <c r="I436" s="72">
        <v>2.89</v>
      </c>
      <c r="J436" s="137">
        <v>2.33</v>
      </c>
      <c r="K436" s="137">
        <v>3.72</v>
      </c>
      <c r="L436" s="72">
        <f>1.2433/0.45436</f>
        <v>2.7363764415881682</v>
      </c>
      <c r="M436" s="72">
        <f>3.15*0.55</f>
        <v>1.7325000000000002</v>
      </c>
      <c r="N436" s="72">
        <f>2.87*0.5</f>
        <v>1.4350000000000001</v>
      </c>
      <c r="O436" s="72">
        <f>5.81*0.758</f>
        <v>4.4039799999999998</v>
      </c>
      <c r="P436" s="72">
        <f>5.42*0.758</f>
        <v>4.1083600000000002</v>
      </c>
      <c r="Q436" s="112">
        <f>5.21*0.701</f>
        <v>3.6522099999999997</v>
      </c>
      <c r="R436" s="74"/>
    </row>
    <row r="437" spans="1:18" s="75" customFormat="1" ht="17.25" customHeight="1" x14ac:dyDescent="0.2">
      <c r="A437" s="113" t="s">
        <v>465</v>
      </c>
      <c r="B437" s="76">
        <v>1.99</v>
      </c>
      <c r="C437" s="72">
        <v>0.78400000000000003</v>
      </c>
      <c r="D437" s="72">
        <v>1.45</v>
      </c>
      <c r="E437" s="72">
        <f>2.72*0.55</f>
        <v>1.4960000000000002</v>
      </c>
      <c r="F437" s="72">
        <v>1.23</v>
      </c>
      <c r="G437" s="72">
        <v>1.73</v>
      </c>
      <c r="H437" s="72">
        <f>2.96*0.5</f>
        <v>1.48</v>
      </c>
      <c r="I437" s="72">
        <v>2.93</v>
      </c>
      <c r="J437" s="137">
        <v>2.6</v>
      </c>
      <c r="K437" s="137">
        <v>3.55</v>
      </c>
      <c r="L437" s="72">
        <f>1.2801/0.45436</f>
        <v>2.8173694867505943</v>
      </c>
      <c r="M437" s="72">
        <f>3.2*0.55</f>
        <v>1.7600000000000002</v>
      </c>
      <c r="N437" s="72">
        <f>2.9*0.5</f>
        <v>1.45</v>
      </c>
      <c r="O437" s="72">
        <f>5.98*0.7526</f>
        <v>4.5005480000000002</v>
      </c>
      <c r="P437" s="72">
        <f>5.63*0.7526</f>
        <v>4.2371379999999998</v>
      </c>
      <c r="Q437" s="112">
        <f>5.22*0.7008</f>
        <v>3.6581759999999997</v>
      </c>
      <c r="R437" s="74"/>
    </row>
    <row r="438" spans="1:18" s="75" customFormat="1" ht="17.25" customHeight="1" x14ac:dyDescent="0.2">
      <c r="A438" s="113" t="s">
        <v>466</v>
      </c>
      <c r="B438" s="76">
        <v>1.98</v>
      </c>
      <c r="C438" s="72">
        <v>0.76671093749999997</v>
      </c>
      <c r="D438" s="72">
        <v>1.45</v>
      </c>
      <c r="E438" s="72">
        <f>2.75*0.55</f>
        <v>1.5125000000000002</v>
      </c>
      <c r="F438" s="72">
        <v>1.26</v>
      </c>
      <c r="G438" s="72">
        <v>1.68</v>
      </c>
      <c r="H438" s="72">
        <f>2.9*0.5</f>
        <v>1.45</v>
      </c>
      <c r="I438" s="72">
        <v>2.9249999999999998</v>
      </c>
      <c r="J438" s="137">
        <v>2.586750788643533</v>
      </c>
      <c r="K438" s="137">
        <v>3.533123028391167</v>
      </c>
      <c r="L438" s="72">
        <f>1.316/0.45436</f>
        <v>2.8963817237432874</v>
      </c>
      <c r="M438" s="72">
        <f>3.2*0.55</f>
        <v>1.7600000000000002</v>
      </c>
      <c r="N438" s="72">
        <f>2.95*0.5</f>
        <v>1.4750000000000001</v>
      </c>
      <c r="O438" s="72">
        <f>6.08*0.7487</f>
        <v>4.5520960000000006</v>
      </c>
      <c r="P438" s="72">
        <f>5.62*0.7487</f>
        <v>4.207694</v>
      </c>
      <c r="Q438" s="112">
        <f>5.22*0.6874</f>
        <v>3.588228</v>
      </c>
      <c r="R438" s="74"/>
    </row>
    <row r="439" spans="1:18" s="75" customFormat="1" ht="17.25" customHeight="1" x14ac:dyDescent="0.2">
      <c r="A439" s="113" t="s">
        <v>467</v>
      </c>
      <c r="B439" s="76">
        <v>1.99</v>
      </c>
      <c r="C439" s="72">
        <v>0.752</v>
      </c>
      <c r="D439" s="72">
        <v>1.45</v>
      </c>
      <c r="E439" s="72">
        <f>2.76*0.55</f>
        <v>1.518</v>
      </c>
      <c r="F439" s="72">
        <v>1.26</v>
      </c>
      <c r="G439" s="72">
        <v>1.7</v>
      </c>
      <c r="H439" s="72">
        <f>2.94*0.5</f>
        <v>1.47</v>
      </c>
      <c r="I439" s="72">
        <v>2.91</v>
      </c>
      <c r="J439" s="137">
        <v>2.59</v>
      </c>
      <c r="K439" s="137">
        <v>3.53</v>
      </c>
      <c r="L439" s="72">
        <f>1.3622/0.45436</f>
        <v>2.9980632097895943</v>
      </c>
      <c r="M439" s="72">
        <f>3.2*0.55</f>
        <v>1.7600000000000002</v>
      </c>
      <c r="N439" s="72">
        <f>3*0.5</f>
        <v>1.5</v>
      </c>
      <c r="O439" s="72">
        <f>5.72*0.741</f>
        <v>4.2385199999999994</v>
      </c>
      <c r="P439" s="72">
        <f>5.55*0.741</f>
        <v>4.1125499999999997</v>
      </c>
      <c r="Q439" s="112">
        <f>5.25*0.6873</f>
        <v>3.6083250000000002</v>
      </c>
      <c r="R439" s="74"/>
    </row>
    <row r="440" spans="1:18" s="75" customFormat="1" ht="17.25" customHeight="1" x14ac:dyDescent="0.2">
      <c r="A440" s="113" t="s">
        <v>468</v>
      </c>
      <c r="B440" s="76">
        <v>1.98</v>
      </c>
      <c r="C440" s="72">
        <v>0.77600000000000002</v>
      </c>
      <c r="D440" s="72">
        <v>1.5</v>
      </c>
      <c r="E440" s="72">
        <f>2.85*0.55</f>
        <v>1.5675000000000001</v>
      </c>
      <c r="F440" s="72">
        <v>1.3</v>
      </c>
      <c r="G440" s="72">
        <v>1.69</v>
      </c>
      <c r="H440" s="72">
        <f>2.92*0.5</f>
        <v>1.46</v>
      </c>
      <c r="I440" s="72">
        <v>2.92</v>
      </c>
      <c r="J440" s="137">
        <v>2.619808306709265</v>
      </c>
      <c r="K440" s="137">
        <v>3.5782747603833864</v>
      </c>
      <c r="L440" s="72">
        <f>1.446/0.45436</f>
        <v>3.1824984593714234</v>
      </c>
      <c r="M440" s="72">
        <f>3.25*0.55</f>
        <v>1.7875000000000001</v>
      </c>
      <c r="N440" s="72">
        <f>3.05*0.5</f>
        <v>1.5249999999999999</v>
      </c>
      <c r="O440" s="72">
        <f>5.41*0.7373</f>
        <v>3.9887929999999998</v>
      </c>
      <c r="P440" s="72">
        <f>5.32*0.7373</f>
        <v>3.9224359999999998</v>
      </c>
      <c r="Q440" s="112">
        <f>5.23*0.6854</f>
        <v>3.5846420000000006</v>
      </c>
      <c r="R440" s="74"/>
    </row>
    <row r="441" spans="1:18" s="75" customFormat="1" ht="17.25" customHeight="1" x14ac:dyDescent="0.2">
      <c r="A441" s="113" t="s">
        <v>469</v>
      </c>
      <c r="B441" s="76">
        <v>1.92</v>
      </c>
      <c r="C441" s="72">
        <v>0.72899999999999998</v>
      </c>
      <c r="D441" s="72">
        <v>1.5</v>
      </c>
      <c r="E441" s="72">
        <f>2.88*0.55</f>
        <v>1.5840000000000001</v>
      </c>
      <c r="F441" s="72">
        <v>1.33</v>
      </c>
      <c r="G441" s="72">
        <v>1.74</v>
      </c>
      <c r="H441" s="72">
        <f>3.01*0.5</f>
        <v>1.5049999999999999</v>
      </c>
      <c r="I441" s="72">
        <v>2.78</v>
      </c>
      <c r="J441" s="137">
        <v>2.5099999999999998</v>
      </c>
      <c r="K441" s="137">
        <v>3.44</v>
      </c>
      <c r="L441" s="72">
        <f>1.3728/0.45436</f>
        <v>3.0213927282331192</v>
      </c>
      <c r="M441" s="72">
        <f>3.22*0.55</f>
        <v>1.7710000000000004</v>
      </c>
      <c r="N441" s="72">
        <f>3.05*0.5</f>
        <v>1.5249999999999999</v>
      </c>
      <c r="O441" s="72">
        <f>5.76*0.742</f>
        <v>4.2739199999999995</v>
      </c>
      <c r="P441" s="72">
        <f>5.44*0.742</f>
        <v>4.0364800000000001</v>
      </c>
      <c r="Q441" s="112">
        <f>5.25*0.6898</f>
        <v>3.6214499999999998</v>
      </c>
      <c r="R441" s="74"/>
    </row>
    <row r="442" spans="1:18" s="75" customFormat="1" ht="17.25" customHeight="1" x14ac:dyDescent="0.2">
      <c r="A442" s="113" t="s">
        <v>470</v>
      </c>
      <c r="B442" s="76">
        <v>1.88</v>
      </c>
      <c r="C442" s="72">
        <v>0.79200000000000004</v>
      </c>
      <c r="D442" s="72">
        <v>1.5</v>
      </c>
      <c r="E442" s="72">
        <f>2.85*0.55</f>
        <v>1.5675000000000001</v>
      </c>
      <c r="F442" s="72">
        <v>1.33</v>
      </c>
      <c r="G442" s="72">
        <v>1.65</v>
      </c>
      <c r="H442" s="72">
        <f>2.85*0.5</f>
        <v>1.425</v>
      </c>
      <c r="I442" s="72">
        <v>2.73</v>
      </c>
      <c r="J442" s="137">
        <v>2.5099999999999998</v>
      </c>
      <c r="K442" s="137">
        <v>3.43</v>
      </c>
      <c r="L442" s="72">
        <f>1.3426/0.45436</f>
        <v>2.9549256096487366</v>
      </c>
      <c r="M442" s="72">
        <f>3.15*0.55</f>
        <v>1.7325000000000002</v>
      </c>
      <c r="N442" s="72">
        <f>2.95*0.5</f>
        <v>1.4750000000000001</v>
      </c>
      <c r="O442" s="72">
        <f>5.47*0.744376</f>
        <v>4.0717367199999996</v>
      </c>
      <c r="P442" s="72">
        <f>5.39*0.744376</f>
        <v>4.0121866400000004</v>
      </c>
      <c r="Q442" s="112">
        <f>5.2833*0.7063</f>
        <v>3.7315947899999999</v>
      </c>
      <c r="R442" s="74"/>
    </row>
    <row r="443" spans="1:18" s="75" customFormat="1" ht="17.25" customHeight="1" x14ac:dyDescent="0.2">
      <c r="A443" s="113" t="s">
        <v>471</v>
      </c>
      <c r="B443" s="76">
        <v>1.86</v>
      </c>
      <c r="C443" s="72">
        <v>0.82699999999999996</v>
      </c>
      <c r="D443" s="72">
        <v>1.52</v>
      </c>
      <c r="E443" s="72">
        <f>2.88*0.55</f>
        <v>1.5840000000000001</v>
      </c>
      <c r="F443" s="72">
        <v>1.34</v>
      </c>
      <c r="G443" s="72">
        <v>1.65</v>
      </c>
      <c r="H443" s="72">
        <f>2.85*0.5</f>
        <v>1.425</v>
      </c>
      <c r="I443" s="72">
        <v>2.7</v>
      </c>
      <c r="J443" s="137">
        <v>2.38</v>
      </c>
      <c r="K443" s="137">
        <v>3.25</v>
      </c>
      <c r="L443" s="72">
        <f>1.315/0.45436</f>
        <v>2.894180825776917</v>
      </c>
      <c r="M443" s="72">
        <f>3.05*0.55</f>
        <v>1.6775</v>
      </c>
      <c r="N443" s="72">
        <f>2.9*0.5</f>
        <v>1.45</v>
      </c>
      <c r="O443" s="72">
        <f>5.54*0.7379</f>
        <v>4.0879659999999998</v>
      </c>
      <c r="P443" s="72">
        <f>5.31*0.7379</f>
        <v>3.9182489999999999</v>
      </c>
      <c r="Q443" s="112">
        <f>5.2833*0.7064</f>
        <v>3.7321231199999998</v>
      </c>
      <c r="R443" s="74"/>
    </row>
    <row r="444" spans="1:18" s="75" customFormat="1" ht="17.25" customHeight="1" x14ac:dyDescent="0.2">
      <c r="A444" s="113" t="s">
        <v>472</v>
      </c>
      <c r="B444" s="76">
        <v>1.87</v>
      </c>
      <c r="C444" s="72">
        <v>0.78</v>
      </c>
      <c r="D444" s="72">
        <v>1.54</v>
      </c>
      <c r="E444" s="72">
        <f>2.92*0.55</f>
        <v>1.6060000000000001</v>
      </c>
      <c r="F444" s="72">
        <v>1.35</v>
      </c>
      <c r="G444" s="72">
        <v>1.64</v>
      </c>
      <c r="H444" s="72">
        <f>2.84*0.5</f>
        <v>1.42</v>
      </c>
      <c r="I444" s="72">
        <v>2.61</v>
      </c>
      <c r="J444" s="137">
        <v>2.36</v>
      </c>
      <c r="K444" s="137">
        <v>3.22</v>
      </c>
      <c r="L444" s="72">
        <f>1.3627/0.45436</f>
        <v>2.9991636587727792</v>
      </c>
      <c r="M444" s="72">
        <f>3.05*0.55</f>
        <v>1.6775</v>
      </c>
      <c r="N444" s="72">
        <f>2.9*0.5</f>
        <v>1.45</v>
      </c>
      <c r="O444" s="72">
        <f>5.58*0.7548</f>
        <v>4.2117840000000006</v>
      </c>
      <c r="P444" s="72">
        <f>5.41*0.7548</f>
        <v>4.0834679999999999</v>
      </c>
      <c r="Q444" s="112">
        <f>5.2833*0.7214</f>
        <v>3.8113726199999998</v>
      </c>
      <c r="R444" s="74"/>
    </row>
    <row r="445" spans="1:18" s="75" customFormat="1" ht="17.25" customHeight="1" x14ac:dyDescent="0.2">
      <c r="A445" s="113" t="s">
        <v>473</v>
      </c>
      <c r="B445" s="76">
        <v>1.87</v>
      </c>
      <c r="C445" s="72">
        <v>0.7</v>
      </c>
      <c r="D445" s="72">
        <v>1.55</v>
      </c>
      <c r="E445" s="72">
        <f>2.97*0.55</f>
        <v>1.6335000000000002</v>
      </c>
      <c r="F445" s="72">
        <v>1.35</v>
      </c>
      <c r="G445" s="72">
        <v>1.64</v>
      </c>
      <c r="H445" s="72">
        <f>2.83*0.5</f>
        <v>1.415</v>
      </c>
      <c r="I445" s="72">
        <v>2.6</v>
      </c>
      <c r="J445" s="137">
        <v>2.3556231003039514</v>
      </c>
      <c r="K445" s="137">
        <v>3.2066869300911858</v>
      </c>
      <c r="L445" s="72">
        <f>1.3607/0.45436</f>
        <v>2.994761862840039</v>
      </c>
      <c r="M445" s="72">
        <f>3*0.55</f>
        <v>1.6500000000000001</v>
      </c>
      <c r="N445" s="72">
        <f>2.8*0.5</f>
        <v>1.4</v>
      </c>
      <c r="O445" s="72">
        <f>5.56*0.7576</f>
        <v>4.212256</v>
      </c>
      <c r="P445" s="72">
        <f>5.4*0.7576</f>
        <v>4.0910400000000005</v>
      </c>
      <c r="Q445" s="112">
        <f>5.3333*0.7201</f>
        <v>3.8405093300000002</v>
      </c>
      <c r="R445" s="74"/>
    </row>
    <row r="446" spans="1:18" s="75" customFormat="1" ht="17.25" customHeight="1" x14ac:dyDescent="0.2">
      <c r="A446" s="113" t="s">
        <v>474</v>
      </c>
      <c r="B446" s="76">
        <v>1.86</v>
      </c>
      <c r="C446" s="72">
        <v>0.71599999999999997</v>
      </c>
      <c r="D446" s="72">
        <v>1.57</v>
      </c>
      <c r="E446" s="72">
        <f>3*0.55</f>
        <v>1.6500000000000001</v>
      </c>
      <c r="F446" s="72">
        <v>1.37</v>
      </c>
      <c r="G446" s="72">
        <v>1.67</v>
      </c>
      <c r="H446" s="72">
        <f>2.91*0.5</f>
        <v>1.4550000000000001</v>
      </c>
      <c r="I446" s="72">
        <v>2.5299999999999998</v>
      </c>
      <c r="J446" s="137">
        <v>2.2904191616766467</v>
      </c>
      <c r="K446" s="137">
        <v>3.0838323353293418</v>
      </c>
      <c r="L446" s="72">
        <f>1.3012/0.45436</f>
        <v>2.8638084338410068</v>
      </c>
      <c r="M446" s="72">
        <f>3*0.55</f>
        <v>1.6500000000000001</v>
      </c>
      <c r="N446" s="72">
        <f>2.75*0.5</f>
        <v>1.375</v>
      </c>
      <c r="O446" s="72">
        <f>5.62*0.7536</f>
        <v>4.2352320000000008</v>
      </c>
      <c r="P446" s="72">
        <f>5.46*0.7536</f>
        <v>4.1146560000000001</v>
      </c>
      <c r="Q446" s="112">
        <f>5.4*0.7256</f>
        <v>3.9182400000000004</v>
      </c>
      <c r="R446" s="74"/>
    </row>
    <row r="447" spans="1:18" s="75" customFormat="1" ht="17.25" customHeight="1" x14ac:dyDescent="0.2">
      <c r="A447" s="113" t="s">
        <v>475</v>
      </c>
      <c r="B447" s="76">
        <v>1.84</v>
      </c>
      <c r="C447" s="72">
        <v>0.749</v>
      </c>
      <c r="D447" s="72">
        <v>1.58</v>
      </c>
      <c r="E447" s="72">
        <f>3*0.55</f>
        <v>1.6500000000000001</v>
      </c>
      <c r="F447" s="72">
        <v>1.38</v>
      </c>
      <c r="G447" s="72">
        <v>1.67</v>
      </c>
      <c r="H447" s="72">
        <f>2.92*0.5</f>
        <v>1.46</v>
      </c>
      <c r="I447" s="72">
        <v>2.5499999999999998</v>
      </c>
      <c r="J447" s="137">
        <v>2.3042168674698797</v>
      </c>
      <c r="K447" s="137">
        <v>3.1024096385542173</v>
      </c>
      <c r="L447" s="72">
        <f>1.215/0.45436</f>
        <v>2.6740910291398894</v>
      </c>
      <c r="M447" s="72">
        <f>2.95*0.55</f>
        <v>1.6225000000000003</v>
      </c>
      <c r="N447" s="72">
        <f>2.8*0.5</f>
        <v>1.4</v>
      </c>
      <c r="O447" s="72">
        <f>5.15*0.7676</f>
        <v>3.9531399999999999</v>
      </c>
      <c r="P447" s="72">
        <f>5.36*0.7676</f>
        <v>4.1143359999999998</v>
      </c>
      <c r="Q447" s="112">
        <f>5.433*0.7286</f>
        <v>3.9584838000000002</v>
      </c>
      <c r="R447" s="74"/>
    </row>
    <row r="448" spans="1:18" s="75" customFormat="1" ht="17.25" customHeight="1" x14ac:dyDescent="0.2">
      <c r="A448" s="113" t="s">
        <v>476</v>
      </c>
      <c r="B448" s="76">
        <v>1.8</v>
      </c>
      <c r="C448" s="72">
        <v>0.746</v>
      </c>
      <c r="D448" s="72">
        <v>1.63</v>
      </c>
      <c r="E448" s="72">
        <f>3.1*0.55</f>
        <v>1.7050000000000003</v>
      </c>
      <c r="F448" s="72">
        <v>1.4</v>
      </c>
      <c r="G448" s="72">
        <v>1.68</v>
      </c>
      <c r="H448" s="72">
        <f>2.98*0.5</f>
        <v>1.49</v>
      </c>
      <c r="I448" s="72">
        <v>2.5499999999999998</v>
      </c>
      <c r="J448" s="137">
        <v>2.15</v>
      </c>
      <c r="K448" s="137">
        <v>2.99</v>
      </c>
      <c r="L448" s="72">
        <f>1.1854/0.45436</f>
        <v>2.6089444493353291</v>
      </c>
      <c r="M448" s="72">
        <f>3*0.55</f>
        <v>1.6500000000000001</v>
      </c>
      <c r="N448" s="72">
        <f>2.82*0.5</f>
        <v>1.41</v>
      </c>
      <c r="O448" s="72">
        <f>5.57*0.7584</f>
        <v>4.2242879999999996</v>
      </c>
      <c r="P448" s="72">
        <f>5.45*0.7584</f>
        <v>4.1332800000000001</v>
      </c>
      <c r="Q448" s="112">
        <f>5.433*0.7272</f>
        <v>3.9508775999999997</v>
      </c>
      <c r="R448" s="74"/>
    </row>
    <row r="449" spans="1:18" s="75" customFormat="1" ht="17.25" customHeight="1" x14ac:dyDescent="0.2">
      <c r="A449" s="113" t="s">
        <v>477</v>
      </c>
      <c r="B449" s="72">
        <v>1.82</v>
      </c>
      <c r="C449" s="72">
        <v>0.81</v>
      </c>
      <c r="D449" s="72">
        <v>1.67</v>
      </c>
      <c r="E449" s="72">
        <f>3.12*0.55</f>
        <v>1.7160000000000002</v>
      </c>
      <c r="F449" s="72">
        <v>1.51</v>
      </c>
      <c r="G449" s="72">
        <v>1.68</v>
      </c>
      <c r="H449" s="72">
        <f>2.96*0.5</f>
        <v>1.48</v>
      </c>
      <c r="I449" s="72">
        <v>2.59</v>
      </c>
      <c r="J449" s="137">
        <v>2.2000000000000002</v>
      </c>
      <c r="K449" s="137">
        <v>3.02</v>
      </c>
      <c r="L449" s="72">
        <f>1.1758/0.45436</f>
        <v>2.5878158288581741</v>
      </c>
      <c r="M449" s="72">
        <f>3.03*0.55</f>
        <v>1.6665000000000001</v>
      </c>
      <c r="N449" s="72">
        <f>2.85*0.5</f>
        <v>1.425</v>
      </c>
      <c r="O449" s="72">
        <f>5.33*0.7733</f>
        <v>4.1216889999999999</v>
      </c>
      <c r="P449" s="72">
        <f>5.28*0.7733</f>
        <v>4.083024</v>
      </c>
      <c r="Q449" s="112">
        <f>5.4*0.7321</f>
        <v>3.9533400000000003</v>
      </c>
      <c r="R449" s="74"/>
    </row>
    <row r="450" spans="1:18" s="75" customFormat="1" ht="17.25" customHeight="1" x14ac:dyDescent="0.2">
      <c r="A450" s="113" t="s">
        <v>478</v>
      </c>
      <c r="B450" s="72">
        <v>1.8</v>
      </c>
      <c r="C450" s="72">
        <v>0.82</v>
      </c>
      <c r="D450" s="72">
        <v>1.69</v>
      </c>
      <c r="E450" s="72">
        <f>3.15*0.55</f>
        <v>1.7325000000000002</v>
      </c>
      <c r="F450" s="72">
        <v>1.54</v>
      </c>
      <c r="G450" s="72">
        <v>1.7</v>
      </c>
      <c r="H450" s="72">
        <f>2.94*0.5</f>
        <v>1.47</v>
      </c>
      <c r="I450" s="72">
        <v>2.65</v>
      </c>
      <c r="J450" s="137">
        <v>2.23</v>
      </c>
      <c r="K450" s="137">
        <v>3.06</v>
      </c>
      <c r="L450" s="72">
        <f>1.1951/0.45436</f>
        <v>2.6302931596091206</v>
      </c>
      <c r="M450" s="72">
        <f>3.1*0.55</f>
        <v>1.7050000000000003</v>
      </c>
      <c r="N450" s="72">
        <f>2.9*0.5</f>
        <v>1.45</v>
      </c>
      <c r="O450" s="72">
        <f>5.5*0.7959</f>
        <v>4.3774500000000005</v>
      </c>
      <c r="P450" s="72">
        <f>5.27*0.7959</f>
        <v>4.1943929999999998</v>
      </c>
      <c r="Q450" s="112">
        <f>5.39*0.74</f>
        <v>3.9885999999999999</v>
      </c>
      <c r="R450" s="74"/>
    </row>
    <row r="451" spans="1:18" s="75" customFormat="1" ht="17.25" customHeight="1" x14ac:dyDescent="0.2">
      <c r="A451" s="113" t="s">
        <v>479</v>
      </c>
      <c r="B451" s="72">
        <v>1.79</v>
      </c>
      <c r="C451" s="72">
        <v>0.8</v>
      </c>
      <c r="D451" s="72">
        <v>1.72</v>
      </c>
      <c r="E451" s="72">
        <f>3.25*0.55</f>
        <v>1.7875000000000001</v>
      </c>
      <c r="F451" s="72">
        <v>1.56</v>
      </c>
      <c r="G451" s="72">
        <v>1.63</v>
      </c>
      <c r="H451" s="72">
        <f>2.85*0.5</f>
        <v>1.425</v>
      </c>
      <c r="I451" s="72">
        <v>2.63</v>
      </c>
      <c r="J451" s="137">
        <v>2.2400000000000002</v>
      </c>
      <c r="K451" s="137">
        <v>3.07</v>
      </c>
      <c r="L451" s="72">
        <f>1.1933/0.45436</f>
        <v>2.6263315432696541</v>
      </c>
      <c r="M451" s="72">
        <f>3.15*0.55</f>
        <v>1.7325000000000002</v>
      </c>
      <c r="N451" s="72">
        <f>2.95*0.5</f>
        <v>1.4750000000000001</v>
      </c>
      <c r="O451" s="72">
        <f>5.35*0.7963</f>
        <v>4.260205</v>
      </c>
      <c r="P451" s="72">
        <f>5.19*0.7963</f>
        <v>4.1327970000000001</v>
      </c>
      <c r="Q451" s="112">
        <f>5.39*0.7487</f>
        <v>4.0354929999999998</v>
      </c>
      <c r="R451" s="74"/>
    </row>
    <row r="452" spans="1:18" s="75" customFormat="1" ht="17.25" customHeight="1" x14ac:dyDescent="0.2">
      <c r="A452" s="113" t="s">
        <v>480</v>
      </c>
      <c r="B452" s="72">
        <v>1.76</v>
      </c>
      <c r="C452" s="72">
        <v>0.82</v>
      </c>
      <c r="D452" s="72">
        <v>1.68</v>
      </c>
      <c r="E452" s="72">
        <f>3.2*0.55</f>
        <v>1.7600000000000002</v>
      </c>
      <c r="F452" s="72">
        <v>1.54</v>
      </c>
      <c r="G452" s="72">
        <v>1.66</v>
      </c>
      <c r="H452" s="72">
        <f>2.91*0.5</f>
        <v>1.4550000000000001</v>
      </c>
      <c r="I452" s="72">
        <v>2.68</v>
      </c>
      <c r="J452" s="137">
        <v>2.3322683706070286</v>
      </c>
      <c r="K452" s="137">
        <v>3.338658146964856</v>
      </c>
      <c r="L452" s="72">
        <f>1.1716/0.45436</f>
        <v>2.5785720573994189</v>
      </c>
      <c r="M452" s="72">
        <f>3.15*0.55</f>
        <v>1.7325000000000002</v>
      </c>
      <c r="N452" s="72">
        <f>2.92*0.5</f>
        <v>1.46</v>
      </c>
      <c r="O452" s="72">
        <f>5.33*0.7946</f>
        <v>4.2352179999999997</v>
      </c>
      <c r="P452" s="72">
        <f>5.06*0.7946</f>
        <v>4.0206759999999999</v>
      </c>
      <c r="Q452" s="112">
        <f>5.342*0.7439</f>
        <v>3.9739137999999996</v>
      </c>
      <c r="R452" s="74"/>
    </row>
    <row r="453" spans="1:18" s="75" customFormat="1" ht="17.25" customHeight="1" x14ac:dyDescent="0.2">
      <c r="A453" s="113" t="s">
        <v>481</v>
      </c>
      <c r="B453" s="72">
        <v>1.77</v>
      </c>
      <c r="C453" s="72">
        <v>0.83</v>
      </c>
      <c r="D453" s="72">
        <v>1.65</v>
      </c>
      <c r="E453" s="72">
        <f>3.12*0.55</f>
        <v>1.7160000000000002</v>
      </c>
      <c r="F453" s="72">
        <v>1.52</v>
      </c>
      <c r="G453" s="72">
        <v>1.65</v>
      </c>
      <c r="H453" s="72">
        <f>2.89*0.5</f>
        <v>1.4450000000000001</v>
      </c>
      <c r="I453" s="72">
        <v>2.72</v>
      </c>
      <c r="J453" s="137">
        <v>2.44</v>
      </c>
      <c r="K453" s="137">
        <v>3.4</v>
      </c>
      <c r="L453" s="72">
        <f>1.173/0.45436</f>
        <v>2.5816533145523377</v>
      </c>
      <c r="M453" s="72">
        <f>3.17*0.55</f>
        <v>1.7435</v>
      </c>
      <c r="N453" s="72">
        <f>2.93*0.5</f>
        <v>1.4650000000000001</v>
      </c>
      <c r="O453" s="72">
        <f>5.15*0.7883</f>
        <v>4.0597450000000004</v>
      </c>
      <c r="P453" s="72">
        <f>5.21*0.7883</f>
        <v>4.107043</v>
      </c>
      <c r="Q453" s="112">
        <f>5.342*0.7278</f>
        <v>3.8879075999999997</v>
      </c>
      <c r="R453" s="74"/>
    </row>
    <row r="454" spans="1:18" s="75" customFormat="1" ht="17.25" customHeight="1" x14ac:dyDescent="0.2">
      <c r="A454" s="113" t="s">
        <v>482</v>
      </c>
      <c r="B454" s="72">
        <v>1.83</v>
      </c>
      <c r="C454" s="72">
        <v>0.92</v>
      </c>
      <c r="D454" s="72">
        <v>1.63</v>
      </c>
      <c r="E454" s="72">
        <f>3.05*0.55</f>
        <v>1.6775</v>
      </c>
      <c r="F454" s="72">
        <v>1.5</v>
      </c>
      <c r="G454" s="72">
        <v>1.63</v>
      </c>
      <c r="H454" s="72">
        <f>2.87*0.5</f>
        <v>1.4350000000000001</v>
      </c>
      <c r="I454" s="72">
        <v>2.88</v>
      </c>
      <c r="J454" s="137">
        <v>2.4500000000000002</v>
      </c>
      <c r="K454" s="137">
        <v>3.42</v>
      </c>
      <c r="L454" s="72">
        <f>1.1517/0.45436</f>
        <v>2.5347741878686505</v>
      </c>
      <c r="M454" s="72">
        <f>3.2*0.55</f>
        <v>1.7600000000000002</v>
      </c>
      <c r="N454" s="72">
        <f>2.98*0.5</f>
        <v>1.49</v>
      </c>
      <c r="O454" s="72">
        <f>5.14*0.788</f>
        <v>4.0503200000000001</v>
      </c>
      <c r="P454" s="72">
        <f>4.97*0.788</f>
        <v>3.9163600000000001</v>
      </c>
      <c r="Q454" s="112">
        <f>5.342*0.7281</f>
        <v>3.8895101999999997</v>
      </c>
      <c r="R454" s="74"/>
    </row>
    <row r="455" spans="1:18" s="75" customFormat="1" ht="17.25" customHeight="1" x14ac:dyDescent="0.2">
      <c r="A455" s="113" t="s">
        <v>483</v>
      </c>
      <c r="B455" s="72">
        <v>1.85</v>
      </c>
      <c r="C455" s="72">
        <v>0.87662087912087916</v>
      </c>
      <c r="D455" s="72">
        <v>1.63</v>
      </c>
      <c r="E455" s="72">
        <f>3.03*0.55</f>
        <v>1.6665000000000001</v>
      </c>
      <c r="F455" s="72">
        <v>1.5</v>
      </c>
      <c r="G455" s="72">
        <v>1.64</v>
      </c>
      <c r="H455" s="72">
        <f>2.88*0.5</f>
        <v>1.44</v>
      </c>
      <c r="I455" s="72">
        <v>2.95</v>
      </c>
      <c r="J455" s="137">
        <v>2.44</v>
      </c>
      <c r="K455" s="137">
        <v>3.4</v>
      </c>
      <c r="L455" s="72">
        <f>1.0968/0.45436</f>
        <v>2.413944889514922</v>
      </c>
      <c r="M455" s="72">
        <f>3.2*0.55</f>
        <v>1.7600000000000002</v>
      </c>
      <c r="N455" s="72">
        <f>2.95*0.5</f>
        <v>1.4750000000000001</v>
      </c>
      <c r="O455" s="72">
        <f>4.98*0.7903</f>
        <v>3.9356940000000002</v>
      </c>
      <c r="P455" s="72">
        <f>4.95*0.7903</f>
        <v>3.911985</v>
      </c>
      <c r="Q455" s="112">
        <f>5.312*0.7204</f>
        <v>3.8267648000000003</v>
      </c>
      <c r="R455" s="74"/>
    </row>
    <row r="456" spans="1:18" s="75" customFormat="1" ht="17.25" customHeight="1" x14ac:dyDescent="0.2">
      <c r="A456" s="113" t="s">
        <v>484</v>
      </c>
      <c r="B456" s="72">
        <v>1.86</v>
      </c>
      <c r="C456" s="72">
        <v>0.88</v>
      </c>
      <c r="D456" s="72">
        <v>1.6</v>
      </c>
      <c r="E456" s="72">
        <f>3*0.55</f>
        <v>1.6500000000000001</v>
      </c>
      <c r="F456" s="72">
        <v>1.5</v>
      </c>
      <c r="G456" s="72">
        <v>1.64</v>
      </c>
      <c r="H456" s="72">
        <f>2.88*0.5</f>
        <v>1.44</v>
      </c>
      <c r="I456" s="72">
        <v>3.04</v>
      </c>
      <c r="J456" s="137">
        <v>2.58</v>
      </c>
      <c r="K456" s="137">
        <v>3.7</v>
      </c>
      <c r="L456" s="72">
        <f>1.0678/0.45436</f>
        <v>2.350118848490184</v>
      </c>
      <c r="M456" s="72">
        <f>3.15*0.55</f>
        <v>1.7325000000000002</v>
      </c>
      <c r="N456" s="72">
        <f>2.85*0.5</f>
        <v>1.425</v>
      </c>
      <c r="O456" s="72">
        <f>5*0.7945</f>
        <v>3.9725000000000001</v>
      </c>
      <c r="P456" s="72">
        <f>5.07*0.7945</f>
        <v>4.0281150000000006</v>
      </c>
      <c r="Q456" s="112">
        <f>5.312*0.7178</f>
        <v>3.8129536000000002</v>
      </c>
      <c r="R456" s="74"/>
    </row>
    <row r="457" spans="1:18" s="75" customFormat="1" ht="17.25" customHeight="1" x14ac:dyDescent="0.2">
      <c r="A457" s="113" t="s">
        <v>486</v>
      </c>
      <c r="B457" s="72">
        <v>1.87</v>
      </c>
      <c r="C457" s="72">
        <v>0.92</v>
      </c>
      <c r="D457" s="72">
        <v>1.58</v>
      </c>
      <c r="E457" s="72">
        <f>2.98*0.55</f>
        <v>1.639</v>
      </c>
      <c r="F457" s="72">
        <v>1.45</v>
      </c>
      <c r="G457" s="72">
        <v>1.66</v>
      </c>
      <c r="H457" s="72">
        <f>2.91*0.5</f>
        <v>1.4550000000000001</v>
      </c>
      <c r="I457" s="72">
        <v>3.14</v>
      </c>
      <c r="J457" s="137">
        <v>2.62</v>
      </c>
      <c r="K457" s="137">
        <v>3.75</v>
      </c>
      <c r="L457" s="72">
        <f>1.0466/0.45436</f>
        <v>2.3034598116031342</v>
      </c>
      <c r="M457" s="72">
        <f>3.1*0.55</f>
        <v>1.7050000000000003</v>
      </c>
      <c r="N457" s="72">
        <f>2.85*0.5</f>
        <v>1.425</v>
      </c>
      <c r="O457" s="72">
        <f>5.27*0.8028</f>
        <v>4.2307559999999995</v>
      </c>
      <c r="P457" s="72">
        <f>5.02*0.8028</f>
        <v>4.0300559999999992</v>
      </c>
      <c r="Q457" s="112">
        <f>5.33*0.7217</f>
        <v>3.8466610000000001</v>
      </c>
      <c r="R457" s="74"/>
    </row>
    <row r="458" spans="1:18" s="75" customFormat="1" ht="17.25" customHeight="1" x14ac:dyDescent="0.2">
      <c r="A458" s="113" t="s">
        <v>485</v>
      </c>
      <c r="B458" s="72">
        <v>1.91</v>
      </c>
      <c r="C458" s="72">
        <v>0.95</v>
      </c>
      <c r="D458" s="72">
        <v>1.56</v>
      </c>
      <c r="E458" s="72">
        <f>2.96*0.55</f>
        <v>1.6280000000000001</v>
      </c>
      <c r="F458" s="72">
        <v>1.45</v>
      </c>
      <c r="G458" s="72">
        <v>1.66</v>
      </c>
      <c r="H458" s="72">
        <f>2.92*0.5</f>
        <v>1.46</v>
      </c>
      <c r="I458" s="72">
        <v>3.07</v>
      </c>
      <c r="J458" s="137">
        <v>2.39</v>
      </c>
      <c r="K458" s="137">
        <v>3.68</v>
      </c>
      <c r="L458" s="72">
        <f>1.0492/0.45436</f>
        <v>2.3091821463156967</v>
      </c>
      <c r="M458" s="72">
        <f>3.17*0.55</f>
        <v>1.7435</v>
      </c>
      <c r="N458" s="72">
        <f>2.95*0.5</f>
        <v>1.4750000000000001</v>
      </c>
      <c r="O458" s="72">
        <f>4.93*0.8028</f>
        <v>3.9578039999999994</v>
      </c>
      <c r="P458" s="72">
        <f>4.89*0.8028</f>
        <v>3.9256919999999997</v>
      </c>
      <c r="Q458" s="112">
        <f>5.37*0.7225</f>
        <v>3.8798250000000003</v>
      </c>
      <c r="R458" s="74"/>
    </row>
    <row r="459" spans="1:18" s="75" customFormat="1" ht="17.25" customHeight="1" x14ac:dyDescent="0.2">
      <c r="A459" s="113" t="s">
        <v>487</v>
      </c>
      <c r="B459" s="72">
        <v>1.89</v>
      </c>
      <c r="C459" s="72">
        <v>0.93400000000000005</v>
      </c>
      <c r="D459" s="72">
        <v>1.56</v>
      </c>
      <c r="E459" s="72">
        <f>2.96*0.55</f>
        <v>1.6280000000000001</v>
      </c>
      <c r="F459" s="72">
        <v>1.45</v>
      </c>
      <c r="G459" s="72">
        <v>1.64</v>
      </c>
      <c r="H459" s="72">
        <f>2.84*0.5</f>
        <v>1.42</v>
      </c>
      <c r="I459" s="72">
        <v>3.08</v>
      </c>
      <c r="J459" s="137">
        <v>2.38</v>
      </c>
      <c r="K459" s="137">
        <v>3.66</v>
      </c>
      <c r="L459" s="72">
        <f>1.0589/0.45436</f>
        <v>2.3305308565894887</v>
      </c>
      <c r="M459" s="72">
        <f>3.25*0.55</f>
        <v>1.7875000000000001</v>
      </c>
      <c r="N459" s="72">
        <f>3.05*0.5</f>
        <v>1.5249999999999999</v>
      </c>
      <c r="O459" s="72">
        <f>4.79*0.7932</f>
        <v>3.7994280000000002</v>
      </c>
      <c r="P459" s="72">
        <f>4.88*0.7932</f>
        <v>3.870816</v>
      </c>
      <c r="Q459" s="112">
        <f>5.37*0.7308</f>
        <v>3.9243960000000002</v>
      </c>
      <c r="R459" s="74"/>
    </row>
    <row r="460" spans="1:18" s="75" customFormat="1" ht="17.25" customHeight="1" x14ac:dyDescent="0.2">
      <c r="A460" s="113" t="s">
        <v>488</v>
      </c>
      <c r="B460" s="72">
        <v>1.87</v>
      </c>
      <c r="C460" s="72">
        <v>0.9</v>
      </c>
      <c r="D460" s="72">
        <v>1.6</v>
      </c>
      <c r="E460" s="72">
        <f>3*0.55</f>
        <v>1.6500000000000001</v>
      </c>
      <c r="F460" s="72">
        <v>1.46</v>
      </c>
      <c r="G460" s="72">
        <v>1.6</v>
      </c>
      <c r="H460" s="72">
        <f>2.78*0.5</f>
        <v>1.39</v>
      </c>
      <c r="I460" s="72">
        <v>2.99</v>
      </c>
      <c r="J460" s="137">
        <v>2.35</v>
      </c>
      <c r="K460" s="137">
        <v>3.61</v>
      </c>
      <c r="L460" s="72">
        <f>1.085/0.45436</f>
        <v>2.3879742935117529</v>
      </c>
      <c r="M460" s="72">
        <f>3.26*0.55</f>
        <v>1.7929999999999999</v>
      </c>
      <c r="N460" s="72">
        <f>3.05*0.5</f>
        <v>1.5249999999999999</v>
      </c>
      <c r="O460" s="72">
        <f>4.62*0.7836</f>
        <v>3.6202320000000001</v>
      </c>
      <c r="P460" s="72">
        <f>4.7*0.7836</f>
        <v>3.6829199999999997</v>
      </c>
      <c r="Q460" s="112">
        <f>5.37*0.7216</f>
        <v>3.8749920000000002</v>
      </c>
      <c r="R460" s="74"/>
    </row>
    <row r="461" spans="1:18" s="75" customFormat="1" ht="17.25" customHeight="1" x14ac:dyDescent="0.2">
      <c r="A461" s="113" t="s">
        <v>489</v>
      </c>
      <c r="B461" s="72">
        <v>1.91</v>
      </c>
      <c r="C461" s="72">
        <v>0.93</v>
      </c>
      <c r="D461" s="72">
        <v>1.65</v>
      </c>
      <c r="E461" s="72">
        <f>3.05*0.55</f>
        <v>1.6775</v>
      </c>
      <c r="F461" s="72">
        <v>1.49</v>
      </c>
      <c r="G461" s="72">
        <v>1.6</v>
      </c>
      <c r="H461" s="72">
        <f>2.64*0.5</f>
        <v>1.32</v>
      </c>
      <c r="I461" s="72">
        <v>2.99</v>
      </c>
      <c r="J461" s="137">
        <v>2.3343848580441642</v>
      </c>
      <c r="K461" s="137">
        <v>3.5488958990536279</v>
      </c>
      <c r="L461" s="72">
        <f>1.0801/0.45436</f>
        <v>2.3771898934765385</v>
      </c>
      <c r="M461" s="72">
        <f>3.3*0.55</f>
        <v>1.8149999999999999</v>
      </c>
      <c r="N461" s="72">
        <f>3.05*0.5</f>
        <v>1.5249999999999999</v>
      </c>
      <c r="O461" s="72">
        <f>5.04*0.7765</f>
        <v>3.9135599999999999</v>
      </c>
      <c r="P461" s="72">
        <f>4.99*0.7765</f>
        <v>3.8747349999999998</v>
      </c>
      <c r="Q461" s="112">
        <f>5.3333*0.7067</f>
        <v>3.7690431100000001</v>
      </c>
      <c r="R461" s="74"/>
    </row>
    <row r="462" spans="1:18" s="75" customFormat="1" ht="17.25" customHeight="1" x14ac:dyDescent="0.2">
      <c r="A462" s="113" t="s">
        <v>490</v>
      </c>
      <c r="B462" s="72">
        <v>1.91</v>
      </c>
      <c r="C462" s="72">
        <v>0.93100000000000005</v>
      </c>
      <c r="D462" s="72">
        <v>1.65</v>
      </c>
      <c r="E462" s="72">
        <f>3*0.55</f>
        <v>1.6500000000000001</v>
      </c>
      <c r="F462" s="72">
        <v>1.51</v>
      </c>
      <c r="G462" s="72">
        <v>1.62</v>
      </c>
      <c r="H462" s="72">
        <f>2.68*0.5</f>
        <v>1.34</v>
      </c>
      <c r="I462" s="72">
        <v>3</v>
      </c>
      <c r="J462" s="137">
        <v>2.35</v>
      </c>
      <c r="K462" s="137">
        <v>3.57</v>
      </c>
      <c r="L462" s="72">
        <f>1.0945/0.45436</f>
        <v>2.4088828241922706</v>
      </c>
      <c r="M462" s="72">
        <f>3.35*0.55</f>
        <v>1.8425000000000002</v>
      </c>
      <c r="N462" s="72">
        <f>3.1*0.5</f>
        <v>1.55</v>
      </c>
      <c r="O462" s="72">
        <f>4.74*0.7824</f>
        <v>3.7085759999999999</v>
      </c>
      <c r="P462" s="72">
        <f>4.97*0.7824</f>
        <v>3.8885279999999995</v>
      </c>
      <c r="Q462" s="112">
        <f>5.3167*0.7139</f>
        <v>3.7955921299999997</v>
      </c>
      <c r="R462" s="74"/>
    </row>
    <row r="463" spans="1:18" s="75" customFormat="1" ht="17.25" customHeight="1" x14ac:dyDescent="0.2">
      <c r="A463" s="113" t="s">
        <v>491</v>
      </c>
      <c r="B463" s="72">
        <v>1.91</v>
      </c>
      <c r="C463" s="72">
        <v>0.94</v>
      </c>
      <c r="D463" s="72">
        <v>1.68</v>
      </c>
      <c r="E463" s="72">
        <f>3.03*0.55</f>
        <v>1.6665000000000001</v>
      </c>
      <c r="F463" s="72">
        <v>1.51</v>
      </c>
      <c r="G463" s="72">
        <v>1.61</v>
      </c>
      <c r="H463" s="72">
        <f>2.67*0.5</f>
        <v>1.335</v>
      </c>
      <c r="I463" s="72">
        <v>2.95</v>
      </c>
      <c r="J463" s="137">
        <v>2.3199999999999998</v>
      </c>
      <c r="K463" s="137">
        <v>3.53</v>
      </c>
      <c r="L463" s="72">
        <f>1.1101/0.45436</f>
        <v>2.4432168324676469</v>
      </c>
      <c r="M463" s="72">
        <f>3.35*0.55</f>
        <v>1.8425000000000002</v>
      </c>
      <c r="N463" s="72">
        <f>3.1*0.5</f>
        <v>1.55</v>
      </c>
      <c r="O463" s="72">
        <f>5.05*0.7863</f>
        <v>3.970815</v>
      </c>
      <c r="P463" s="72">
        <f>5.02*0.7863</f>
        <v>3.9472259999999997</v>
      </c>
      <c r="Q463" s="112">
        <f>5.283*0.701</f>
        <v>3.7033830000000001</v>
      </c>
      <c r="R463" s="74"/>
    </row>
    <row r="464" spans="1:18" s="75" customFormat="1" ht="17.25" customHeight="1" x14ac:dyDescent="0.2">
      <c r="A464" s="114" t="s">
        <v>492</v>
      </c>
      <c r="B464" s="72">
        <v>1.9</v>
      </c>
      <c r="C464" s="72">
        <v>0.93</v>
      </c>
      <c r="D464" s="72">
        <v>1.7</v>
      </c>
      <c r="E464" s="72">
        <f>3.05*0.55</f>
        <v>1.6775</v>
      </c>
      <c r="F464" s="72">
        <v>1.51</v>
      </c>
      <c r="G464" s="72">
        <v>1.58</v>
      </c>
      <c r="H464" s="72">
        <f>2.61*0.5</f>
        <v>1.3049999999999999</v>
      </c>
      <c r="I464" s="72">
        <v>2.88</v>
      </c>
      <c r="J464" s="137">
        <v>2.23</v>
      </c>
      <c r="K464" s="137">
        <v>3.51</v>
      </c>
      <c r="L464" s="72">
        <f>1.1087/0.45436</f>
        <v>2.4401355753147285</v>
      </c>
      <c r="M464" s="72">
        <f>3.38*0.55</f>
        <v>1.859</v>
      </c>
      <c r="N464" s="72">
        <f>3.2*0.5</f>
        <v>1.6</v>
      </c>
      <c r="O464" s="72">
        <f>5.12*0.7666</f>
        <v>3.924992</v>
      </c>
      <c r="P464" s="72">
        <f>5.12*0.7666</f>
        <v>3.924992</v>
      </c>
      <c r="Q464" s="112">
        <f>5.275*0.6838</f>
        <v>3.6070449999999998</v>
      </c>
      <c r="R464" s="74"/>
    </row>
    <row r="465" spans="1:18" s="75" customFormat="1" ht="17.25" customHeight="1" x14ac:dyDescent="0.2">
      <c r="A465" s="114" t="s">
        <v>493</v>
      </c>
      <c r="B465" s="72">
        <v>1.89</v>
      </c>
      <c r="C465" s="72">
        <v>0.92392241379310347</v>
      </c>
      <c r="D465" s="72">
        <v>1.66</v>
      </c>
      <c r="E465" s="72">
        <f>3.04*0.55</f>
        <v>1.6720000000000002</v>
      </c>
      <c r="F465" s="72">
        <v>1.47</v>
      </c>
      <c r="G465" s="72">
        <v>1.56</v>
      </c>
      <c r="H465" s="72">
        <f>2.59*0.5</f>
        <v>1.2949999999999999</v>
      </c>
      <c r="I465" s="72">
        <v>2.82</v>
      </c>
      <c r="J465" s="137">
        <v>2.2000000000000002</v>
      </c>
      <c r="K465" s="137">
        <v>3.46</v>
      </c>
      <c r="L465" s="72">
        <f>1.11698/0.45436</f>
        <v>2.4583590104762747</v>
      </c>
      <c r="M465" s="72">
        <f>3.45*0.55</f>
        <v>1.8975000000000002</v>
      </c>
      <c r="N465" s="72">
        <f>3.2*0.5</f>
        <v>1.6</v>
      </c>
      <c r="O465" s="72">
        <f>5.25*0.7717</f>
        <v>4.0514250000000001</v>
      </c>
      <c r="P465" s="72">
        <f>5.19*0.7717</f>
        <v>4.0051230000000002</v>
      </c>
      <c r="Q465" s="112">
        <f>5.275*0.6917</f>
        <v>3.6487175000000001</v>
      </c>
      <c r="R465" s="74"/>
    </row>
    <row r="466" spans="1:18" s="75" customFormat="1" ht="17.25" customHeight="1" x14ac:dyDescent="0.2">
      <c r="A466" s="114" t="s">
        <v>494</v>
      </c>
      <c r="B466" s="72">
        <v>1.89</v>
      </c>
      <c r="C466" s="72">
        <v>0.94</v>
      </c>
      <c r="D466" s="72">
        <v>1.64</v>
      </c>
      <c r="E466" s="72">
        <f>3*0.55</f>
        <v>1.6500000000000001</v>
      </c>
      <c r="F466" s="72">
        <v>1.43</v>
      </c>
      <c r="G466" s="72">
        <v>1.57</v>
      </c>
      <c r="H466" s="72">
        <f>2.59*0.5</f>
        <v>1.2949999999999999</v>
      </c>
      <c r="I466" s="72">
        <v>2.87</v>
      </c>
      <c r="J466" s="137">
        <v>2.2408536585365852</v>
      </c>
      <c r="K466" s="137">
        <v>3.5975609756097566</v>
      </c>
      <c r="L466" s="72">
        <f>1.2353/0.45436</f>
        <v>2.7187692578572058</v>
      </c>
      <c r="M466" s="72">
        <f>3.47*0.55</f>
        <v>1.9085000000000003</v>
      </c>
      <c r="N466" s="72">
        <f>3.2*0.5</f>
        <v>1.6</v>
      </c>
      <c r="O466" s="72">
        <f>5.3*0.768</f>
        <v>4.0704000000000002</v>
      </c>
      <c r="P466" s="72">
        <f>5.24*0.768</f>
        <v>4.0243200000000003</v>
      </c>
      <c r="Q466" s="112">
        <f>5.2917*0.696</f>
        <v>3.6830231999999996</v>
      </c>
      <c r="R466" s="74"/>
    </row>
    <row r="467" spans="1:18" s="75" customFormat="1" ht="17.25" customHeight="1" x14ac:dyDescent="0.2">
      <c r="A467" s="111" t="s">
        <v>495</v>
      </c>
      <c r="B467" s="72">
        <v>1.9</v>
      </c>
      <c r="C467" s="72">
        <v>0.93</v>
      </c>
      <c r="D467" s="72">
        <v>1.62</v>
      </c>
      <c r="E467" s="72">
        <f>3*0.55</f>
        <v>1.6500000000000001</v>
      </c>
      <c r="F467" s="72">
        <v>1.41</v>
      </c>
      <c r="G467" s="72">
        <v>1.55</v>
      </c>
      <c r="H467" s="72">
        <f>2.57*0.5</f>
        <v>1.2849999999999999</v>
      </c>
      <c r="I467" s="72">
        <v>2.88</v>
      </c>
      <c r="J467" s="137">
        <v>2.2546012269938651</v>
      </c>
      <c r="K467" s="137">
        <v>3.6349693251533743</v>
      </c>
      <c r="L467" s="72">
        <f>1.2271/0.45436</f>
        <v>2.7007218945329696</v>
      </c>
      <c r="M467" s="72">
        <f>3.47*0.55</f>
        <v>1.9085000000000003</v>
      </c>
      <c r="N467" s="72">
        <f>3.2*0.5</f>
        <v>1.6</v>
      </c>
      <c r="O467" s="72">
        <f>5.18*0.759</f>
        <v>3.9316199999999997</v>
      </c>
      <c r="P467" s="72">
        <f>5.12*0.759</f>
        <v>3.8860800000000002</v>
      </c>
      <c r="Q467" s="112">
        <f>5.308*0.6855</f>
        <v>3.6386339999999997</v>
      </c>
      <c r="R467" s="74"/>
    </row>
    <row r="468" spans="1:18" s="75" customFormat="1" ht="17.25" customHeight="1" x14ac:dyDescent="0.2">
      <c r="A468" s="111" t="s">
        <v>496</v>
      </c>
      <c r="B468" s="72">
        <v>1.9</v>
      </c>
      <c r="C468" s="72">
        <v>0.95899999999999996</v>
      </c>
      <c r="D468" s="72">
        <v>1.62</v>
      </c>
      <c r="E468" s="72">
        <f>2.97*0.55</f>
        <v>1.6335000000000002</v>
      </c>
      <c r="F468" s="72">
        <v>1.41</v>
      </c>
      <c r="G468" s="72">
        <v>1.58</v>
      </c>
      <c r="H468" s="72">
        <f>2.61*0.5</f>
        <v>1.3049999999999999</v>
      </c>
      <c r="I468" s="72">
        <v>2.95</v>
      </c>
      <c r="J468" s="137">
        <v>2.2452771755961596</v>
      </c>
      <c r="K468" s="137">
        <v>3.6079281511303809</v>
      </c>
      <c r="L468" s="72">
        <f>1.1935/0.45436</f>
        <v>2.6267717228629284</v>
      </c>
      <c r="M468" s="72">
        <f>3.25*0.55</f>
        <v>1.7875000000000001</v>
      </c>
      <c r="N468" s="72">
        <f>3.05*0.5</f>
        <v>1.5249999999999999</v>
      </c>
      <c r="O468" s="72">
        <f>5.23*0.7626</f>
        <v>3.9883980000000001</v>
      </c>
      <c r="P468" s="72">
        <f>5.12*0.7626</f>
        <v>3.904512</v>
      </c>
      <c r="Q468" s="112">
        <f>5.43*0.6888</f>
        <v>3.7401839999999997</v>
      </c>
      <c r="R468" s="74"/>
    </row>
    <row r="469" spans="1:18" s="75" customFormat="1" ht="17.25" customHeight="1" x14ac:dyDescent="0.2">
      <c r="A469" s="111" t="s">
        <v>497</v>
      </c>
      <c r="B469" s="72">
        <v>1.91</v>
      </c>
      <c r="C469" s="72">
        <v>0.91600000000000004</v>
      </c>
      <c r="D469" s="72">
        <v>1.6</v>
      </c>
      <c r="E469" s="72">
        <f>2.93*0.55</f>
        <v>1.6115000000000002</v>
      </c>
      <c r="F469" s="72">
        <v>1.38</v>
      </c>
      <c r="G469" s="72">
        <v>1.62</v>
      </c>
      <c r="H469" s="72">
        <f>2.68*0.5</f>
        <v>1.34</v>
      </c>
      <c r="I469" s="72">
        <v>2.93</v>
      </c>
      <c r="J469" s="137">
        <v>2.2559852670349905</v>
      </c>
      <c r="K469" s="137">
        <v>3.6372007366482504</v>
      </c>
      <c r="L469" s="72">
        <f>1.11897/0.45436</f>
        <v>2.4627387974293513</v>
      </c>
      <c r="M469" s="72">
        <f>3.15*0.55</f>
        <v>1.7325000000000002</v>
      </c>
      <c r="N469" s="72">
        <f>2.9*0.5</f>
        <v>1.45</v>
      </c>
      <c r="O469" s="72">
        <f>5.35*0.7566</f>
        <v>4.0478100000000001</v>
      </c>
      <c r="P469" s="72">
        <f>5.01*0.7566</f>
        <v>3.7905660000000001</v>
      </c>
      <c r="Q469" s="112">
        <f>5.37*0.6834</f>
        <v>3.6698580000000001</v>
      </c>
      <c r="R469" s="74"/>
    </row>
    <row r="470" spans="1:18" s="75" customFormat="1" ht="17.25" customHeight="1" x14ac:dyDescent="0.2">
      <c r="A470" s="111" t="s">
        <v>498</v>
      </c>
      <c r="B470" s="72">
        <v>1.91</v>
      </c>
      <c r="C470" s="72">
        <v>0.90400000000000003</v>
      </c>
      <c r="D470" s="72">
        <v>1.55</v>
      </c>
      <c r="E470" s="72">
        <f>2.88*0.55</f>
        <v>1.5840000000000001</v>
      </c>
      <c r="F470" s="72">
        <v>1.35</v>
      </c>
      <c r="G470" s="72">
        <v>1.61</v>
      </c>
      <c r="H470" s="72">
        <v>1.36</v>
      </c>
      <c r="I470" s="72">
        <v>2.92</v>
      </c>
      <c r="J470" s="137">
        <v>2.2354014598540148</v>
      </c>
      <c r="K470" s="137">
        <v>3.892944038929441</v>
      </c>
      <c r="L470" s="72">
        <f>1.2058/0.45436</f>
        <v>2.6538427678492824</v>
      </c>
      <c r="M470" s="72">
        <f>3.15*0.55</f>
        <v>1.7325000000000002</v>
      </c>
      <c r="N470" s="72">
        <f>2.95*0.5</f>
        <v>1.4750000000000001</v>
      </c>
      <c r="O470" s="72">
        <f>5.1*0.7508</f>
        <v>3.8290799999999998</v>
      </c>
      <c r="P470" s="72">
        <f>4.94*0.7508</f>
        <v>3.7089520000000005</v>
      </c>
      <c r="Q470" s="112">
        <f>5.32*0.6825</f>
        <v>3.6309</v>
      </c>
      <c r="R470" s="74"/>
    </row>
    <row r="471" spans="1:18" s="75" customFormat="1" ht="17.25" customHeight="1" x14ac:dyDescent="0.2">
      <c r="A471" s="111" t="s">
        <v>499</v>
      </c>
      <c r="B471" s="72">
        <v>1.91</v>
      </c>
      <c r="C471" s="72">
        <v>0.85081699346405237</v>
      </c>
      <c r="D471" s="72">
        <v>1.54</v>
      </c>
      <c r="E471" s="72">
        <f>2.85*0.55</f>
        <v>1.5675000000000001</v>
      </c>
      <c r="F471" s="72">
        <v>1.34</v>
      </c>
      <c r="G471" s="72">
        <v>1.56</v>
      </c>
      <c r="H471" s="72">
        <v>1.34</v>
      </c>
      <c r="I471" s="72">
        <v>2.95</v>
      </c>
      <c r="J471" s="137">
        <v>2.08</v>
      </c>
      <c r="K471" s="137">
        <v>3.95</v>
      </c>
      <c r="L471" s="72">
        <f>1.1746/0.45436</f>
        <v>2.5851747512985299</v>
      </c>
      <c r="M471" s="72">
        <f>3.3*0.55</f>
        <v>1.8149999999999999</v>
      </c>
      <c r="N471" s="72">
        <f>3.1*0.5</f>
        <v>1.55</v>
      </c>
      <c r="O471" s="72">
        <f>5.11*0.7665</f>
        <v>3.9168150000000002</v>
      </c>
      <c r="P471" s="72">
        <f>4.92*0.7665</f>
        <v>3.7711799999999998</v>
      </c>
      <c r="Q471" s="112">
        <f>5.24*0.6984</f>
        <v>3.6596160000000002</v>
      </c>
      <c r="R471" s="74"/>
    </row>
    <row r="472" spans="1:18" s="75" customFormat="1" ht="17.25" customHeight="1" x14ac:dyDescent="0.2">
      <c r="A472" s="111" t="s">
        <v>500</v>
      </c>
      <c r="B472" s="72">
        <v>1.85</v>
      </c>
      <c r="C472" s="72">
        <v>0.80100000000000005</v>
      </c>
      <c r="D472" s="72">
        <v>1.54</v>
      </c>
      <c r="E472" s="72">
        <f>2.85*0.55</f>
        <v>1.5675000000000001</v>
      </c>
      <c r="F472" s="72">
        <v>1.33</v>
      </c>
      <c r="G472" s="72">
        <v>1.57</v>
      </c>
      <c r="H472" s="72">
        <v>1.31</v>
      </c>
      <c r="I472" s="72">
        <v>2.94</v>
      </c>
      <c r="J472" s="137">
        <v>2.0745640408899582</v>
      </c>
      <c r="K472" s="137">
        <v>3.9687312086590496</v>
      </c>
      <c r="L472" s="72">
        <f>1.1971/0.45436</f>
        <v>2.6346949555418613</v>
      </c>
      <c r="M472" s="72">
        <f>3.3*0.55</f>
        <v>1.8149999999999999</v>
      </c>
      <c r="N472" s="72">
        <f>3.1*0.5</f>
        <v>1.55</v>
      </c>
      <c r="O472" s="72" t="s">
        <v>501</v>
      </c>
      <c r="P472" s="72" t="s">
        <v>501</v>
      </c>
      <c r="Q472" s="112">
        <f>5.18*0.7015</f>
        <v>3.6337699999999997</v>
      </c>
      <c r="R472" s="74"/>
    </row>
    <row r="473" spans="1:18" s="75" customFormat="1" ht="17.25" customHeight="1" x14ac:dyDescent="0.2">
      <c r="A473" s="111" t="s">
        <v>502</v>
      </c>
      <c r="B473" s="72">
        <v>1.76</v>
      </c>
      <c r="C473" s="72">
        <v>0.79</v>
      </c>
      <c r="D473" s="72">
        <v>1.55</v>
      </c>
      <c r="E473" s="72">
        <f>2.87*0.55</f>
        <v>1.5785000000000002</v>
      </c>
      <c r="F473" s="72">
        <v>1.34</v>
      </c>
      <c r="G473" s="72">
        <v>1.56</v>
      </c>
      <c r="H473" s="72">
        <f>2.59*0.5</f>
        <v>1.2949999999999999</v>
      </c>
      <c r="I473" s="72">
        <v>2.93</v>
      </c>
      <c r="J473" s="137">
        <v>2.08</v>
      </c>
      <c r="K473" s="137">
        <v>3.98</v>
      </c>
      <c r="L473" s="72">
        <f>1.1997/0.45436</f>
        <v>2.6404172902544238</v>
      </c>
      <c r="M473" s="72">
        <f>3.45*0.55</f>
        <v>1.8975000000000002</v>
      </c>
      <c r="N473" s="72">
        <f>3.22*0.5</f>
        <v>1.61</v>
      </c>
      <c r="O473" s="72" t="s">
        <v>501</v>
      </c>
      <c r="P473" s="72" t="s">
        <v>501</v>
      </c>
      <c r="Q473" s="112">
        <f>5.166666*0.7087</f>
        <v>3.6616161942000001</v>
      </c>
      <c r="R473" s="74"/>
    </row>
    <row r="474" spans="1:18" s="75" customFormat="1" ht="27" customHeight="1" x14ac:dyDescent="0.2">
      <c r="A474" s="115" t="s">
        <v>503</v>
      </c>
      <c r="B474" s="77">
        <v>1.75</v>
      </c>
      <c r="C474" s="77">
        <v>0.79</v>
      </c>
      <c r="D474" s="77">
        <v>1.56</v>
      </c>
      <c r="E474" s="77">
        <f>2.95*0.55</f>
        <v>1.6225000000000003</v>
      </c>
      <c r="F474" s="77">
        <v>1.37</v>
      </c>
      <c r="G474" s="77">
        <v>1.49</v>
      </c>
      <c r="H474" s="77">
        <v>1.33</v>
      </c>
      <c r="I474" s="77">
        <v>3.03</v>
      </c>
      <c r="J474" s="138">
        <v>2.083333333333333</v>
      </c>
      <c r="K474" s="138">
        <v>3.966049382716049</v>
      </c>
      <c r="L474" s="77">
        <f>1.2284/0.45436</f>
        <v>2.7035830618892507</v>
      </c>
      <c r="M474" s="77">
        <f>3.45*0.55</f>
        <v>1.8975000000000002</v>
      </c>
      <c r="N474" s="77">
        <f>3.25*0.5</f>
        <v>1.625</v>
      </c>
      <c r="O474" s="77" t="s">
        <v>501</v>
      </c>
      <c r="P474" s="77" t="s">
        <v>501</v>
      </c>
      <c r="Q474" s="116">
        <v>3.69</v>
      </c>
      <c r="R474" s="74"/>
    </row>
    <row r="475" spans="1:18" s="75" customFormat="1" ht="18" customHeight="1" x14ac:dyDescent="0.2">
      <c r="A475" s="115" t="s">
        <v>504</v>
      </c>
      <c r="B475" s="77">
        <v>1.77</v>
      </c>
      <c r="C475" s="77">
        <v>0.82</v>
      </c>
      <c r="D475" s="77">
        <v>1.59</v>
      </c>
      <c r="E475" s="77">
        <f>2.99*0.55</f>
        <v>1.6445000000000003</v>
      </c>
      <c r="F475" s="77">
        <v>1.39</v>
      </c>
      <c r="G475" s="77">
        <v>1.51</v>
      </c>
      <c r="H475" s="77">
        <v>1.35</v>
      </c>
      <c r="I475" s="77">
        <v>3.0640000000000001</v>
      </c>
      <c r="J475" s="138">
        <v>2.1</v>
      </c>
      <c r="K475" s="138">
        <v>3.96</v>
      </c>
      <c r="L475" s="77">
        <f>1.2161/0.45436</f>
        <v>2.6765120169028962</v>
      </c>
      <c r="M475" s="77">
        <f>3.45*0.55</f>
        <v>1.8975000000000002</v>
      </c>
      <c r="N475" s="77">
        <f>3.25*0.5</f>
        <v>1.625</v>
      </c>
      <c r="O475" s="77">
        <f>4.9*0.78815</f>
        <v>3.8619350000000003</v>
      </c>
      <c r="P475" s="77">
        <f>4.93*0.78815</f>
        <v>3.8855795</v>
      </c>
      <c r="Q475" s="116">
        <v>3.73</v>
      </c>
      <c r="R475" s="74"/>
    </row>
    <row r="476" spans="1:18" s="75" customFormat="1" ht="18" customHeight="1" x14ac:dyDescent="0.2">
      <c r="A476" s="115" t="s">
        <v>505</v>
      </c>
      <c r="B476" s="77">
        <v>1.75</v>
      </c>
      <c r="C476" s="77">
        <v>0.81</v>
      </c>
      <c r="D476" s="77">
        <v>1.59</v>
      </c>
      <c r="E476" s="77">
        <f>3.02*0.55</f>
        <v>1.6610000000000003</v>
      </c>
      <c r="F476" s="77">
        <v>1.38</v>
      </c>
      <c r="G476" s="77">
        <v>1.54</v>
      </c>
      <c r="H476" s="77">
        <v>1.4</v>
      </c>
      <c r="I476" s="77">
        <v>3.05</v>
      </c>
      <c r="J476" s="138">
        <v>2.0872274143302181</v>
      </c>
      <c r="K476" s="138">
        <v>3.97196261682243</v>
      </c>
      <c r="L476" s="77">
        <f>1.1992/0.45436</f>
        <v>2.6393168412712389</v>
      </c>
      <c r="M476" s="77">
        <f>3.38*0.55</f>
        <v>1.859</v>
      </c>
      <c r="N476" s="77">
        <f>3.15*0.5</f>
        <v>1.575</v>
      </c>
      <c r="O476" s="77">
        <f>5.02*0.7995</f>
        <v>4.01349</v>
      </c>
      <c r="P476" s="77">
        <f>4.87*0.7995</f>
        <v>3.8935650000000002</v>
      </c>
      <c r="Q476" s="116">
        <f>5.1167*0.7312</f>
        <v>3.7413310399999995</v>
      </c>
      <c r="R476" s="74"/>
    </row>
    <row r="477" spans="1:18" s="75" customFormat="1" ht="18" customHeight="1" x14ac:dyDescent="0.2">
      <c r="A477" s="115" t="s">
        <v>506</v>
      </c>
      <c r="B477" s="77">
        <v>1.71</v>
      </c>
      <c r="C477" s="77">
        <v>0.79533816425120774</v>
      </c>
      <c r="D477" s="77">
        <v>1.59</v>
      </c>
      <c r="E477" s="77">
        <f>3.02*0.55</f>
        <v>1.6610000000000003</v>
      </c>
      <c r="F477" s="77">
        <v>1.4</v>
      </c>
      <c r="G477" s="77">
        <v>1.53</v>
      </c>
      <c r="H477" s="77">
        <v>1.45</v>
      </c>
      <c r="I477" s="77">
        <v>3.09</v>
      </c>
      <c r="J477" s="138">
        <v>2.1800000000000002</v>
      </c>
      <c r="K477" s="138">
        <v>3.58</v>
      </c>
      <c r="L477" s="77">
        <f>1.2289/0.45436</f>
        <v>2.7046835108724361</v>
      </c>
      <c r="M477" s="77">
        <f>3.4*0.55</f>
        <v>1.87</v>
      </c>
      <c r="N477" s="77">
        <f>3.215*0.5</f>
        <v>1.6074999999999999</v>
      </c>
      <c r="O477" s="77">
        <f>4.93*0.810405</f>
        <v>3.9952966499999998</v>
      </c>
      <c r="P477" s="77">
        <f>4.65*0.810405</f>
        <v>3.7683832500000003</v>
      </c>
      <c r="Q477" s="116">
        <f>5.1167*0.7347</f>
        <v>3.7592394900000001</v>
      </c>
      <c r="R477" s="74"/>
    </row>
    <row r="478" spans="1:18" s="75" customFormat="1" ht="18" customHeight="1" x14ac:dyDescent="0.2">
      <c r="A478" s="115" t="s">
        <v>507</v>
      </c>
      <c r="B478" s="77">
        <v>1.71</v>
      </c>
      <c r="C478" s="77">
        <v>0.84199999999999997</v>
      </c>
      <c r="D478" s="77">
        <v>1.6</v>
      </c>
      <c r="E478" s="77">
        <f>3.07*0.55</f>
        <v>1.6885000000000001</v>
      </c>
      <c r="F478" s="77">
        <v>1.4</v>
      </c>
      <c r="G478" s="77">
        <v>1.57</v>
      </c>
      <c r="H478" s="77">
        <v>1.46</v>
      </c>
      <c r="I478" s="77">
        <v>3.02</v>
      </c>
      <c r="J478" s="138">
        <v>2.16</v>
      </c>
      <c r="K478" s="138">
        <v>3.55</v>
      </c>
      <c r="L478" s="77">
        <f>1.2646/0.45436</f>
        <v>2.7832555682718549</v>
      </c>
      <c r="M478" s="77">
        <f>3.4*0.55</f>
        <v>1.87</v>
      </c>
      <c r="N478" s="77">
        <f>3.2*0.5</f>
        <v>1.6</v>
      </c>
      <c r="O478" s="77">
        <f>4.69*0.8043</f>
        <v>3.7721670000000005</v>
      </c>
      <c r="P478" s="77">
        <f>4.71*0.8043</f>
        <v>3.7882530000000001</v>
      </c>
      <c r="Q478" s="116">
        <f>5.1167*0.7398</f>
        <v>3.7853346599999997</v>
      </c>
      <c r="R478" s="74"/>
    </row>
    <row r="479" spans="1:18" s="75" customFormat="1" ht="18" customHeight="1" x14ac:dyDescent="0.2">
      <c r="A479" s="115" t="s">
        <v>508</v>
      </c>
      <c r="B479" s="77">
        <v>1.68</v>
      </c>
      <c r="C479" s="77">
        <v>0.81899999999999995</v>
      </c>
      <c r="D479" s="77">
        <v>1.62</v>
      </c>
      <c r="E479" s="77">
        <f>3.1*0.55</f>
        <v>1.7050000000000003</v>
      </c>
      <c r="F479" s="77">
        <v>1.4</v>
      </c>
      <c r="G479" s="77">
        <v>1.53</v>
      </c>
      <c r="H479" s="77">
        <v>1.41</v>
      </c>
      <c r="I479" s="77">
        <v>2.95</v>
      </c>
      <c r="J479" s="138">
        <v>2.4242424242424243</v>
      </c>
      <c r="K479" s="138">
        <v>3.6212121212121211</v>
      </c>
      <c r="L479" s="77">
        <f>1.2591/0.45436</f>
        <v>2.7711506294568187</v>
      </c>
      <c r="M479" s="77">
        <f>3.55*0.55</f>
        <v>1.9525000000000001</v>
      </c>
      <c r="N479" s="77">
        <f>3.3*0.5</f>
        <v>1.65</v>
      </c>
      <c r="O479" s="77">
        <f>4.91*0.7792</f>
        <v>3.8258719999999999</v>
      </c>
      <c r="P479" s="77">
        <f>4.78*0.7792</f>
        <v>3.7245760000000003</v>
      </c>
      <c r="Q479" s="116">
        <f>5.08*0.7227</f>
        <v>3.671316</v>
      </c>
      <c r="R479" s="74"/>
    </row>
    <row r="480" spans="1:18" s="75" customFormat="1" ht="20.25" customHeight="1" x14ac:dyDescent="0.2">
      <c r="A480" s="115" t="s">
        <v>509</v>
      </c>
      <c r="B480" s="77">
        <v>1.7</v>
      </c>
      <c r="C480" s="77">
        <v>0.82099999999999995</v>
      </c>
      <c r="D480" s="77">
        <v>1.64</v>
      </c>
      <c r="E480" s="77">
        <f>3.15*0.55</f>
        <v>1.7325000000000002</v>
      </c>
      <c r="F480" s="77">
        <v>1.47</v>
      </c>
      <c r="G480" s="77">
        <v>1.52</v>
      </c>
      <c r="H480" s="77">
        <v>1.4</v>
      </c>
      <c r="I480" s="77">
        <v>3</v>
      </c>
      <c r="J480" s="138">
        <v>2.4844720496894408</v>
      </c>
      <c r="K480" s="138">
        <v>3.7111801242236022</v>
      </c>
      <c r="L480" s="77">
        <f>1.2615/0.45436</f>
        <v>2.7764327845761074</v>
      </c>
      <c r="M480" s="77">
        <f>3.55*0.55</f>
        <v>1.9525000000000001</v>
      </c>
      <c r="N480" s="77">
        <f>3.3*0.5</f>
        <v>1.65</v>
      </c>
      <c r="O480" s="77">
        <f>4.82*0.7792</f>
        <v>3.7557440000000004</v>
      </c>
      <c r="P480" s="77">
        <f>4.85*0.7927</f>
        <v>3.8445949999999995</v>
      </c>
      <c r="Q480" s="116">
        <f>5.08*0.7398</f>
        <v>3.758184</v>
      </c>
      <c r="R480" s="74"/>
    </row>
    <row r="481" spans="1:18" s="75" customFormat="1" ht="19.5" customHeight="1" x14ac:dyDescent="0.2">
      <c r="A481" s="115" t="s">
        <v>510</v>
      </c>
      <c r="B481" s="77">
        <v>1.68</v>
      </c>
      <c r="C481" s="77">
        <v>0.8</v>
      </c>
      <c r="D481" s="77">
        <v>1.64</v>
      </c>
      <c r="E481" s="77">
        <f>3.15*0.55</f>
        <v>1.7325000000000002</v>
      </c>
      <c r="F481" s="77">
        <v>1.48</v>
      </c>
      <c r="G481" s="77">
        <v>1.5</v>
      </c>
      <c r="H481" s="77">
        <v>1.41</v>
      </c>
      <c r="I481" s="77">
        <v>3.01</v>
      </c>
      <c r="J481" s="138">
        <v>2.4700000000000002</v>
      </c>
      <c r="K481" s="138">
        <v>3.69</v>
      </c>
      <c r="L481" s="77">
        <f>1.2975/0.45436</f>
        <v>2.8556651113654374</v>
      </c>
      <c r="M481" s="77">
        <f>3.55*0.55</f>
        <v>1.9525000000000001</v>
      </c>
      <c r="N481" s="77">
        <f>3.3*0.5</f>
        <v>1.65</v>
      </c>
      <c r="O481" s="77">
        <f>4.84*0.7792</f>
        <v>3.771328</v>
      </c>
      <c r="P481" s="77">
        <f>4.71*0.7927</f>
        <v>3.7336169999999997</v>
      </c>
      <c r="Q481" s="116">
        <f>5.08*0.7398</f>
        <v>3.758184</v>
      </c>
      <c r="R481" s="74"/>
    </row>
    <row r="482" spans="1:18" s="75" customFormat="1" ht="19.5" customHeight="1" x14ac:dyDescent="0.2">
      <c r="A482" s="115" t="s">
        <v>511</v>
      </c>
      <c r="B482" s="77">
        <v>1.67</v>
      </c>
      <c r="C482" s="77">
        <v>0.76</v>
      </c>
      <c r="D482" s="77">
        <v>1.61</v>
      </c>
      <c r="E482" s="77">
        <f>3.12*0.55</f>
        <v>1.7160000000000002</v>
      </c>
      <c r="F482" s="77">
        <v>1.46</v>
      </c>
      <c r="G482" s="77">
        <v>1.51</v>
      </c>
      <c r="H482" s="77">
        <v>1.41</v>
      </c>
      <c r="I482" s="77">
        <v>2.99</v>
      </c>
      <c r="J482" s="138">
        <v>2.3199999999999998</v>
      </c>
      <c r="K482" s="138">
        <v>3.33</v>
      </c>
      <c r="L482" s="77">
        <f>1.2795/0.45436</f>
        <v>2.8160489479707724</v>
      </c>
      <c r="M482" s="77">
        <f>3.6*0.55</f>
        <v>1.9800000000000002</v>
      </c>
      <c r="N482" s="77">
        <f>3.3*0.5</f>
        <v>1.65</v>
      </c>
      <c r="O482" s="77">
        <f>5*0.7759</f>
        <v>3.8795000000000002</v>
      </c>
      <c r="P482" s="77">
        <f>4.84*0.7759</f>
        <v>3.7553559999999999</v>
      </c>
      <c r="Q482" s="116">
        <f>5.14*0.7249</f>
        <v>3.7259859999999998</v>
      </c>
      <c r="R482" s="74"/>
    </row>
    <row r="483" spans="1:18" s="75" customFormat="1" ht="21" customHeight="1" x14ac:dyDescent="0.2">
      <c r="A483" s="115" t="s">
        <v>512</v>
      </c>
      <c r="B483" s="77">
        <v>1.67</v>
      </c>
      <c r="C483" s="77">
        <v>0.747</v>
      </c>
      <c r="D483" s="77">
        <v>1.59</v>
      </c>
      <c r="E483" s="77">
        <f>3.11*0.55</f>
        <v>1.7105000000000001</v>
      </c>
      <c r="F483" s="77">
        <v>1.45</v>
      </c>
      <c r="G483" s="77">
        <v>1.52</v>
      </c>
      <c r="H483" s="77">
        <v>1.41</v>
      </c>
      <c r="I483" s="77">
        <v>2.98</v>
      </c>
      <c r="J483" s="138">
        <v>2.3284313725490198</v>
      </c>
      <c r="K483" s="138">
        <v>3.4313725490196076</v>
      </c>
      <c r="L483" s="77">
        <f>1.2676/0.45436</f>
        <v>2.789858262170966</v>
      </c>
      <c r="M483" s="77">
        <f>3.3*0.55</f>
        <v>1.8149999999999999</v>
      </c>
      <c r="N483" s="77">
        <f>3.05*0.5</f>
        <v>1.5249999999999999</v>
      </c>
      <c r="O483" s="77">
        <f>5.11*0.7782</f>
        <v>3.9766020000000002</v>
      </c>
      <c r="P483" s="77">
        <f>5.04*0.7782</f>
        <v>3.9221279999999998</v>
      </c>
      <c r="Q483" s="116">
        <f>5.17*0.7246</f>
        <v>3.7461820000000001</v>
      </c>
      <c r="R483" s="74"/>
    </row>
    <row r="484" spans="1:18" s="75" customFormat="1" ht="21.75" customHeight="1" x14ac:dyDescent="0.2">
      <c r="A484" s="115" t="s">
        <v>513</v>
      </c>
      <c r="B484" s="77">
        <v>1.66</v>
      </c>
      <c r="C484" s="77">
        <v>0.72</v>
      </c>
      <c r="D484" s="77">
        <v>1.59</v>
      </c>
      <c r="E484" s="77">
        <f>3.08*0.55</f>
        <v>1.6940000000000002</v>
      </c>
      <c r="F484" s="77">
        <v>1.45</v>
      </c>
      <c r="G484" s="77">
        <v>1.49</v>
      </c>
      <c r="H484" s="77">
        <v>1.38</v>
      </c>
      <c r="I484" s="77">
        <v>2.94</v>
      </c>
      <c r="J484" s="138">
        <v>2.3404255319148937</v>
      </c>
      <c r="K484" s="138">
        <v>3.3130699088145898</v>
      </c>
      <c r="L484" s="77">
        <f>1.2679/0.45436</f>
        <v>2.7905185315608771</v>
      </c>
      <c r="M484" s="77">
        <f>3.35*0.55</f>
        <v>1.8425000000000002</v>
      </c>
      <c r="N484" s="77">
        <f>3.15*0.5</f>
        <v>1.575</v>
      </c>
      <c r="O484" s="77">
        <f>5.05*0.7802</f>
        <v>3.94001</v>
      </c>
      <c r="P484" s="77">
        <f>5.15*0.7802</f>
        <v>4.0180300000000004</v>
      </c>
      <c r="Q484" s="116">
        <f>5.175*0.7276</f>
        <v>3.7653300000000001</v>
      </c>
      <c r="R484" s="74"/>
    </row>
    <row r="485" spans="1:18" s="75" customFormat="1" ht="24.75" customHeight="1" x14ac:dyDescent="0.2">
      <c r="A485" s="115" t="s">
        <v>514</v>
      </c>
      <c r="B485" s="77">
        <v>1.66</v>
      </c>
      <c r="C485" s="77">
        <v>0.69</v>
      </c>
      <c r="D485" s="77">
        <v>1.57</v>
      </c>
      <c r="E485" s="77">
        <f>3.03*0.55</f>
        <v>1.6665000000000001</v>
      </c>
      <c r="F485" s="77">
        <v>1.44</v>
      </c>
      <c r="G485" s="77">
        <v>1.47</v>
      </c>
      <c r="H485" s="77">
        <v>1.35</v>
      </c>
      <c r="I485" s="77">
        <v>2.88</v>
      </c>
      <c r="J485" s="138">
        <v>2.3199999999999998</v>
      </c>
      <c r="K485" s="138">
        <v>3.3</v>
      </c>
      <c r="L485" s="77">
        <f>1.2791/0.45436</f>
        <v>2.8151685887842239</v>
      </c>
      <c r="M485" s="77">
        <f>3.4*0.55</f>
        <v>1.87</v>
      </c>
      <c r="N485" s="77">
        <f>3.1*0.5</f>
        <v>1.55</v>
      </c>
      <c r="O485" s="77">
        <f>5*0.7695</f>
        <v>3.8474999999999997</v>
      </c>
      <c r="P485" s="77">
        <f>5.07*0.7695</f>
        <v>3.9013650000000002</v>
      </c>
      <c r="Q485" s="116">
        <f>5.1417*0.7219</f>
        <v>3.7117932300000001</v>
      </c>
      <c r="R485" s="74"/>
    </row>
    <row r="486" spans="1:18" s="75" customFormat="1" ht="21" customHeight="1" x14ac:dyDescent="0.2">
      <c r="A486" s="115" t="s">
        <v>515</v>
      </c>
      <c r="B486" s="77">
        <v>1.67</v>
      </c>
      <c r="C486" s="77">
        <v>0.64</v>
      </c>
      <c r="D486" s="77">
        <v>1.55</v>
      </c>
      <c r="E486" s="77">
        <f>3.03*0.55</f>
        <v>1.6665000000000001</v>
      </c>
      <c r="F486" s="77">
        <v>1.44</v>
      </c>
      <c r="G486" s="77">
        <v>1.43</v>
      </c>
      <c r="H486" s="77">
        <v>1.34</v>
      </c>
      <c r="I486" s="77">
        <v>2.87</v>
      </c>
      <c r="J486" s="138">
        <v>2.31</v>
      </c>
      <c r="K486" s="138">
        <v>3.28</v>
      </c>
      <c r="L486" s="77">
        <f>1.259/0.45436</f>
        <v>2.7709305396601813</v>
      </c>
      <c r="M486" s="77">
        <f>3.45*0.55</f>
        <v>1.8975000000000002</v>
      </c>
      <c r="N486" s="77">
        <f>3.2*0.5</f>
        <v>1.6</v>
      </c>
      <c r="O486" s="77">
        <f>5.13*0.7669</f>
        <v>3.9341970000000002</v>
      </c>
      <c r="P486" s="77">
        <f>4.86*0.7669</f>
        <v>3.7271340000000004</v>
      </c>
      <c r="Q486" s="116">
        <f>5.125*0.7229</f>
        <v>3.7048624999999999</v>
      </c>
      <c r="R486" s="74"/>
    </row>
    <row r="487" spans="1:18" s="75" customFormat="1" ht="24" customHeight="1" x14ac:dyDescent="0.2">
      <c r="A487" s="115" t="s">
        <v>516</v>
      </c>
      <c r="B487" s="77">
        <v>1.67</v>
      </c>
      <c r="C487" s="77">
        <v>0.71699999999999997</v>
      </c>
      <c r="D487" s="77">
        <v>1.57</v>
      </c>
      <c r="E487" s="77">
        <f>3.1*0.55</f>
        <v>1.7050000000000003</v>
      </c>
      <c r="F487" s="77">
        <v>1.47</v>
      </c>
      <c r="G487" s="77">
        <v>1.44</v>
      </c>
      <c r="H487" s="77">
        <v>1.35</v>
      </c>
      <c r="I487" s="77">
        <v>2.85</v>
      </c>
      <c r="J487" s="138">
        <v>2.3065476190476191</v>
      </c>
      <c r="K487" s="138">
        <v>3.4077380952380953</v>
      </c>
      <c r="L487" s="77">
        <f>1.2096/0.45436</f>
        <v>2.6622061801214896</v>
      </c>
      <c r="M487" s="77">
        <f>3.45*0.55</f>
        <v>1.8975000000000002</v>
      </c>
      <c r="N487" s="77">
        <f>3.2*0.5</f>
        <v>1.6</v>
      </c>
      <c r="O487" s="77">
        <f>4.99*0.7684</f>
        <v>3.8343159999999998</v>
      </c>
      <c r="P487" s="77">
        <f>4.96*0.7684</f>
        <v>3.811264</v>
      </c>
      <c r="Q487" s="116">
        <f>5.108*0.7273</f>
        <v>3.7150483999999997</v>
      </c>
      <c r="R487" s="74"/>
    </row>
    <row r="488" spans="1:18" s="75" customFormat="1" ht="25.5" customHeight="1" x14ac:dyDescent="0.2">
      <c r="A488" s="115" t="s">
        <v>517</v>
      </c>
      <c r="B488" s="77">
        <v>1.67</v>
      </c>
      <c r="C488" s="77">
        <v>0.71399999999999997</v>
      </c>
      <c r="D488" s="77">
        <v>1.6</v>
      </c>
      <c r="E488" s="77">
        <f>3.15*0.55</f>
        <v>1.7325000000000002</v>
      </c>
      <c r="F488" s="77">
        <v>1.49</v>
      </c>
      <c r="G488" s="77">
        <v>1.41</v>
      </c>
      <c r="H488" s="77">
        <v>1.3</v>
      </c>
      <c r="I488" s="77">
        <v>2.8</v>
      </c>
      <c r="J488" s="138">
        <v>2.2627737226277373</v>
      </c>
      <c r="K488" s="138">
        <v>3.3430656934306571</v>
      </c>
      <c r="L488" s="77">
        <f>1.1673/0.45436</f>
        <v>2.5691081961440267</v>
      </c>
      <c r="M488" s="77">
        <f>3.5*0.55</f>
        <v>1.9250000000000003</v>
      </c>
      <c r="N488" s="77">
        <f>3.25*0.5</f>
        <v>1.625</v>
      </c>
      <c r="O488" s="77">
        <f>4.83*0.7754</f>
        <v>3.7451819999999998</v>
      </c>
      <c r="P488" s="77">
        <f>5.01*0.7754</f>
        <v>3.8847539999999996</v>
      </c>
      <c r="Q488" s="116">
        <f>5.091*0.7378</f>
        <v>3.7561398000000001</v>
      </c>
      <c r="R488" s="74"/>
    </row>
    <row r="489" spans="1:18" s="75" customFormat="1" ht="24.75" customHeight="1" x14ac:dyDescent="0.2">
      <c r="A489" s="115" t="s">
        <v>518</v>
      </c>
      <c r="B489" s="77">
        <v>1.67</v>
      </c>
      <c r="C489" s="77">
        <v>0.68</v>
      </c>
      <c r="D489" s="77">
        <v>1.65</v>
      </c>
      <c r="E489" s="77">
        <f>3.19*0.55</f>
        <v>1.7545000000000002</v>
      </c>
      <c r="F489" s="77">
        <v>1.5</v>
      </c>
      <c r="G489" s="77">
        <v>1.43</v>
      </c>
      <c r="H489" s="77">
        <v>1.3</v>
      </c>
      <c r="I489" s="77">
        <v>2.82</v>
      </c>
      <c r="J489" s="138">
        <v>2.29</v>
      </c>
      <c r="K489" s="138">
        <v>3.38</v>
      </c>
      <c r="L489" s="77">
        <f>1.1949/0.45436</f>
        <v>2.6298529800158468</v>
      </c>
      <c r="M489" s="77">
        <f>3.5*0.55</f>
        <v>1.9250000000000003</v>
      </c>
      <c r="N489" s="77">
        <f>3.25*0.5</f>
        <v>1.625</v>
      </c>
      <c r="O489" s="77">
        <f>4.82*0.7735</f>
        <v>3.7282700000000002</v>
      </c>
      <c r="P489" s="77">
        <f>4.76*0.7735</f>
        <v>3.6818599999999995</v>
      </c>
      <c r="Q489" s="116">
        <f>5.05333*0.7272</f>
        <v>3.6747815759999995</v>
      </c>
      <c r="R489" s="74"/>
    </row>
    <row r="490" spans="1:18" s="75" customFormat="1" ht="24.75" customHeight="1" x14ac:dyDescent="0.2">
      <c r="A490" s="115" t="s">
        <v>519</v>
      </c>
      <c r="B490" s="77">
        <v>1.65</v>
      </c>
      <c r="C490" s="77">
        <v>0.72</v>
      </c>
      <c r="D490" s="77">
        <v>1.67</v>
      </c>
      <c r="E490" s="77">
        <f>3.25*0.55</f>
        <v>1.7875000000000001</v>
      </c>
      <c r="F490" s="77">
        <v>1.51</v>
      </c>
      <c r="G490" s="77">
        <v>1.4</v>
      </c>
      <c r="H490" s="77">
        <v>1.28</v>
      </c>
      <c r="I490" s="77">
        <v>2.73</v>
      </c>
      <c r="J490" s="138">
        <v>2.2400000000000002</v>
      </c>
      <c r="K490" s="138">
        <v>3.24</v>
      </c>
      <c r="L490" s="77">
        <f>1.2171/0.45436</f>
        <v>2.678712914869267</v>
      </c>
      <c r="M490" s="77">
        <f>3.45*0.55</f>
        <v>1.8975000000000002</v>
      </c>
      <c r="N490" s="77">
        <f>3.25*0.5</f>
        <v>1.625</v>
      </c>
      <c r="O490" s="77">
        <f>4.71*0.7552</f>
        <v>3.5569919999999997</v>
      </c>
      <c r="P490" s="77">
        <f>4.76*0.7552</f>
        <v>3.5947519999999997</v>
      </c>
      <c r="Q490" s="116">
        <f>5.02*0.7063</f>
        <v>3.5456259999999999</v>
      </c>
      <c r="R490" s="74"/>
    </row>
    <row r="491" spans="1:18" s="75" customFormat="1" ht="23.25" customHeight="1" x14ac:dyDescent="0.2">
      <c r="A491" s="115" t="s">
        <v>520</v>
      </c>
      <c r="B491" s="77">
        <v>1.55</v>
      </c>
      <c r="C491" s="77">
        <v>0.75</v>
      </c>
      <c r="D491" s="77">
        <v>1.69</v>
      </c>
      <c r="E491" s="77">
        <f>3.28*0.55</f>
        <v>1.804</v>
      </c>
      <c r="F491" s="77">
        <v>1.52</v>
      </c>
      <c r="G491" s="77">
        <v>1.4</v>
      </c>
      <c r="H491" s="77">
        <v>1.29</v>
      </c>
      <c r="I491" s="77">
        <v>2.68</v>
      </c>
      <c r="J491" s="138">
        <v>2.2000000000000002</v>
      </c>
      <c r="K491" s="138">
        <v>3.17</v>
      </c>
      <c r="L491" s="77">
        <f>1.2373/0.45436</f>
        <v>2.7231710537899465</v>
      </c>
      <c r="M491" s="77">
        <f>3.3*0.55</f>
        <v>1.8149999999999999</v>
      </c>
      <c r="N491" s="77">
        <f>3.05*0.5</f>
        <v>1.5249999999999999</v>
      </c>
      <c r="O491" s="77">
        <f>4.66*0.753</f>
        <v>3.5089800000000002</v>
      </c>
      <c r="P491" s="77">
        <f>4.86*0.753</f>
        <v>3.6595800000000001</v>
      </c>
      <c r="Q491" s="116">
        <f>5.025*0.7044</f>
        <v>3.5396100000000006</v>
      </c>
      <c r="R491" s="74"/>
    </row>
    <row r="492" spans="1:18" s="75" customFormat="1" ht="22.5" customHeight="1" x14ac:dyDescent="0.2">
      <c r="A492" s="115" t="s">
        <v>521</v>
      </c>
      <c r="B492" s="77">
        <v>1.5</v>
      </c>
      <c r="C492" s="77">
        <v>0.74399999999999999</v>
      </c>
      <c r="D492" s="77">
        <v>1.72</v>
      </c>
      <c r="E492" s="77">
        <f>3.3*0.55</f>
        <v>1.8149999999999999</v>
      </c>
      <c r="F492" s="77">
        <v>1.55</v>
      </c>
      <c r="G492" s="77">
        <v>1.37</v>
      </c>
      <c r="H492" s="77">
        <v>1.27</v>
      </c>
      <c r="I492" s="77">
        <v>2.56</v>
      </c>
      <c r="J492" s="138">
        <v>2.1448467966573816</v>
      </c>
      <c r="K492" s="138">
        <v>3.1</v>
      </c>
      <c r="L492" s="77">
        <f>1.2481/0.45436</f>
        <v>2.7469407518267452</v>
      </c>
      <c r="M492" s="77">
        <f>3.2*0.55</f>
        <v>1.7600000000000002</v>
      </c>
      <c r="N492" s="77">
        <f>2.9*0.5</f>
        <v>1.45</v>
      </c>
      <c r="O492" s="77">
        <f>4.8*0.7534</f>
        <v>3.6163199999999995</v>
      </c>
      <c r="P492" s="77">
        <f>4.95*0.7534</f>
        <v>3.72933</v>
      </c>
      <c r="Q492" s="116">
        <f>5.025*0.6962</f>
        <v>3.4984050000000004</v>
      </c>
      <c r="R492" s="74"/>
    </row>
    <row r="493" spans="1:18" s="75" customFormat="1" ht="24" customHeight="1" x14ac:dyDescent="0.2">
      <c r="A493" s="115" t="s">
        <v>522</v>
      </c>
      <c r="B493" s="77">
        <v>1.39</v>
      </c>
      <c r="C493" s="77">
        <v>0.65</v>
      </c>
      <c r="D493" s="77">
        <v>1.75</v>
      </c>
      <c r="E493" s="77">
        <f>3.4*0.55</f>
        <v>1.87</v>
      </c>
      <c r="F493" s="77">
        <v>1.59</v>
      </c>
      <c r="G493" s="77">
        <v>1.34</v>
      </c>
      <c r="H493" s="77">
        <v>1.24</v>
      </c>
      <c r="I493" s="77">
        <v>2.48</v>
      </c>
      <c r="J493" s="138">
        <v>2.06</v>
      </c>
      <c r="K493" s="138">
        <v>2.99</v>
      </c>
      <c r="L493" s="77">
        <f>1.2165/0.45436</f>
        <v>2.6773923760894442</v>
      </c>
      <c r="M493" s="77">
        <f>3.25*0.55</f>
        <v>1.7875000000000001</v>
      </c>
      <c r="N493" s="77">
        <f>2.93*0.5</f>
        <v>1.4650000000000001</v>
      </c>
      <c r="O493" s="77">
        <f>4.85*0.7512</f>
        <v>3.6433199999999997</v>
      </c>
      <c r="P493" s="77">
        <f>4.9*0.7512</f>
        <v>3.6808800000000002</v>
      </c>
      <c r="Q493" s="116">
        <f>5.025*0.6881</f>
        <v>3.4577025000000003</v>
      </c>
      <c r="R493" s="74"/>
    </row>
    <row r="494" spans="1:18" s="75" customFormat="1" ht="21" customHeight="1" x14ac:dyDescent="0.2">
      <c r="A494" s="115" t="s">
        <v>523</v>
      </c>
      <c r="B494" s="77">
        <v>1.4</v>
      </c>
      <c r="C494" s="77">
        <v>0.61199999999999999</v>
      </c>
      <c r="D494" s="77">
        <v>1.75</v>
      </c>
      <c r="E494" s="77">
        <f>3.4*0.55</f>
        <v>1.87</v>
      </c>
      <c r="F494" s="77">
        <v>1.61</v>
      </c>
      <c r="G494" s="77">
        <v>1.37</v>
      </c>
      <c r="H494" s="77">
        <v>1.27</v>
      </c>
      <c r="I494" s="77">
        <v>2.56</v>
      </c>
      <c r="J494" s="138">
        <v>2.1212121212121211</v>
      </c>
      <c r="K494" s="138">
        <v>3.0716253443526171</v>
      </c>
      <c r="L494" s="77">
        <f>1.1473/0.45436</f>
        <v>2.525090236816621</v>
      </c>
      <c r="M494" s="77">
        <f>3.1*0.55</f>
        <v>1.7050000000000003</v>
      </c>
      <c r="N494" s="77">
        <f>2.85*0.5</f>
        <v>1.425</v>
      </c>
      <c r="O494" s="77">
        <f>4.76*0.7579</f>
        <v>3.6076039999999998</v>
      </c>
      <c r="P494" s="77">
        <f>4.82*0.7579</f>
        <v>3.6530780000000003</v>
      </c>
      <c r="Q494" s="116">
        <f>5.042*0.6934</f>
        <v>3.4961227999999998</v>
      </c>
      <c r="R494" s="74"/>
    </row>
    <row r="495" spans="1:18" s="75" customFormat="1" ht="22.5" customHeight="1" x14ac:dyDescent="0.2">
      <c r="A495" s="115" t="s">
        <v>524</v>
      </c>
      <c r="B495" s="77">
        <v>1.36</v>
      </c>
      <c r="C495" s="77">
        <v>0.625</v>
      </c>
      <c r="D495" s="77">
        <v>1.72</v>
      </c>
      <c r="E495" s="77">
        <f>3.35*0.55</f>
        <v>1.8425000000000002</v>
      </c>
      <c r="F495" s="77">
        <v>1.6</v>
      </c>
      <c r="G495" s="77">
        <v>1.34</v>
      </c>
      <c r="H495" s="77">
        <v>1.23</v>
      </c>
      <c r="I495" s="77">
        <v>2.52</v>
      </c>
      <c r="J495" s="138">
        <v>2.0478723404255321</v>
      </c>
      <c r="K495" s="138">
        <v>2.9654255319148937</v>
      </c>
      <c r="L495" s="77">
        <f>1.1106/0.45436</f>
        <v>2.4443172814508323</v>
      </c>
      <c r="M495" s="77">
        <f>3*0.55</f>
        <v>1.6500000000000001</v>
      </c>
      <c r="N495" s="77">
        <f>2.7*0.5</f>
        <v>1.35</v>
      </c>
      <c r="O495" s="77">
        <f>4.84*0.7567</f>
        <v>3.6624280000000002</v>
      </c>
      <c r="P495" s="77">
        <f>4.83*0.7567</f>
        <v>3.6548610000000004</v>
      </c>
      <c r="Q495" s="116">
        <f>5.092*0.6999</f>
        <v>3.5638907999999994</v>
      </c>
      <c r="R495" s="74"/>
    </row>
    <row r="496" spans="1:18" s="75" customFormat="1" ht="19.5" customHeight="1" x14ac:dyDescent="0.2">
      <c r="A496" s="115" t="s">
        <v>525</v>
      </c>
      <c r="B496" s="77">
        <v>1.41</v>
      </c>
      <c r="C496" s="77">
        <v>0.66</v>
      </c>
      <c r="D496" s="77">
        <v>1.71</v>
      </c>
      <c r="E496" s="77">
        <f>3.35*0.55</f>
        <v>1.8425000000000002</v>
      </c>
      <c r="F496" s="77">
        <v>1.6</v>
      </c>
      <c r="G496" s="77">
        <v>1.33</v>
      </c>
      <c r="H496" s="77">
        <v>1.23</v>
      </c>
      <c r="I496" s="77">
        <v>2.48</v>
      </c>
      <c r="J496" s="138">
        <v>2.2867904223836426</v>
      </c>
      <c r="K496" s="138">
        <v>3.0938929244013988</v>
      </c>
      <c r="L496" s="77">
        <v>2.4300000000000002</v>
      </c>
      <c r="M496" s="77">
        <f>3.1*0.55</f>
        <v>1.7050000000000003</v>
      </c>
      <c r="N496" s="77">
        <f>2.85*0.5</f>
        <v>1.425</v>
      </c>
      <c r="O496" s="77">
        <f>4.88*0.7629</f>
        <v>3.7229519999999998</v>
      </c>
      <c r="P496" s="77">
        <f>4.75*0.7629</f>
        <v>3.6237750000000002</v>
      </c>
      <c r="Q496" s="116">
        <f>5.092*0.703227</f>
        <v>3.5808318840000002</v>
      </c>
      <c r="R496" s="74"/>
    </row>
    <row r="497" spans="1:18" s="75" customFormat="1" ht="20.25" customHeight="1" x14ac:dyDescent="0.2">
      <c r="A497" s="115" t="s">
        <v>526</v>
      </c>
      <c r="B497" s="77">
        <v>1.29</v>
      </c>
      <c r="C497" s="77">
        <v>0.58399999999999996</v>
      </c>
      <c r="D497" s="77">
        <v>1.7</v>
      </c>
      <c r="E497" s="77">
        <f>3.3*0.55</f>
        <v>1.8149999999999999</v>
      </c>
      <c r="F497" s="77">
        <v>1.58</v>
      </c>
      <c r="G497" s="77">
        <v>1.35</v>
      </c>
      <c r="H497" s="77">
        <v>1.24</v>
      </c>
      <c r="I497" s="77">
        <v>2.4500000000000002</v>
      </c>
      <c r="J497" s="138">
        <v>2.1762493283181086</v>
      </c>
      <c r="K497" s="138">
        <v>2.955400322407308</v>
      </c>
      <c r="L497" s="77">
        <f>1.1466/0.45436</f>
        <v>2.5235496082401623</v>
      </c>
      <c r="M497" s="77">
        <f>3.1*0.55</f>
        <v>1.7050000000000003</v>
      </c>
      <c r="N497" s="77">
        <f>2.85*0.5</f>
        <v>1.425</v>
      </c>
      <c r="O497" s="77">
        <f>4.83*0.7514</f>
        <v>3.6292619999999998</v>
      </c>
      <c r="P497" s="77">
        <f>4.74*0.7514</f>
        <v>3.561636</v>
      </c>
      <c r="Q497" s="116">
        <f>5.092*0.6997</f>
        <v>3.5628723999999998</v>
      </c>
      <c r="R497" s="74"/>
    </row>
    <row r="498" spans="1:18" s="75" customFormat="1" ht="23.25" customHeight="1" x14ac:dyDescent="0.2">
      <c r="A498" s="115" t="s">
        <v>527</v>
      </c>
      <c r="B498" s="77">
        <v>1.29</v>
      </c>
      <c r="C498" s="77">
        <v>0.59098706896551723</v>
      </c>
      <c r="D498" s="77">
        <v>1.7</v>
      </c>
      <c r="E498" s="77">
        <f>3.3*0.55</f>
        <v>1.8149999999999999</v>
      </c>
      <c r="F498" s="77">
        <v>1.58</v>
      </c>
      <c r="G498" s="77">
        <v>1.36</v>
      </c>
      <c r="H498" s="77">
        <v>1.24</v>
      </c>
      <c r="I498" s="77">
        <v>2.4700000000000002</v>
      </c>
      <c r="J498" s="138">
        <v>2.1618037135278514</v>
      </c>
      <c r="K498" s="138">
        <v>2.6657824933687007</v>
      </c>
      <c r="L498" s="77">
        <f>1.1128/0.45436</f>
        <v>2.4491592569768468</v>
      </c>
      <c r="M498" s="77">
        <f>3.15*0.55</f>
        <v>1.7325000000000002</v>
      </c>
      <c r="N498" s="77">
        <f>2.93*0.5</f>
        <v>1.4650000000000001</v>
      </c>
      <c r="O498" s="77">
        <f>4.89*0.7376</f>
        <v>3.6068639999999998</v>
      </c>
      <c r="P498" s="77">
        <f>4.79*0.7376</f>
        <v>3.5331040000000002</v>
      </c>
      <c r="Q498" s="116">
        <f>5.092*0.6874</f>
        <v>3.5002407999999998</v>
      </c>
      <c r="R498" s="74"/>
    </row>
    <row r="499" spans="1:18" s="75" customFormat="1" ht="24" customHeight="1" x14ac:dyDescent="0.2">
      <c r="A499" s="115" t="s">
        <v>528</v>
      </c>
      <c r="B499" s="77">
        <v>1.3</v>
      </c>
      <c r="C499" s="77">
        <v>0.55000000000000004</v>
      </c>
      <c r="D499" s="77">
        <v>1.7</v>
      </c>
      <c r="E499" s="77">
        <f>3.3*0.55</f>
        <v>1.8149999999999999</v>
      </c>
      <c r="F499" s="77">
        <v>1.58</v>
      </c>
      <c r="G499" s="77">
        <v>1.34</v>
      </c>
      <c r="H499" s="77">
        <v>1.23</v>
      </c>
      <c r="I499" s="77">
        <v>2.4</v>
      </c>
      <c r="J499" s="138">
        <v>2.1026831785345719</v>
      </c>
      <c r="K499" s="138">
        <v>2.5928792569659445</v>
      </c>
      <c r="L499" s="77">
        <f>1.0874/0.45436</f>
        <v>2.3932564486310413</v>
      </c>
      <c r="M499" s="77">
        <f>3.15*0.55</f>
        <v>1.7325000000000002</v>
      </c>
      <c r="N499" s="77">
        <f>2.9*0.5</f>
        <v>1.45</v>
      </c>
      <c r="O499" s="77">
        <f>4.82*0.7352</f>
        <v>3.5436640000000001</v>
      </c>
      <c r="P499" s="77">
        <f>4.84*0.7352</f>
        <v>3.5583679999999998</v>
      </c>
      <c r="Q499" s="116">
        <f>5.11*0.6757</f>
        <v>3.4528270000000001</v>
      </c>
      <c r="R499" s="74"/>
    </row>
    <row r="500" spans="1:18" s="75" customFormat="1" ht="24" customHeight="1" x14ac:dyDescent="0.2">
      <c r="A500" s="115" t="s">
        <v>529</v>
      </c>
      <c r="B500" s="77">
        <v>1.36</v>
      </c>
      <c r="C500" s="77">
        <v>0.57999999999999996</v>
      </c>
      <c r="D500" s="77">
        <v>1.7</v>
      </c>
      <c r="E500" s="77">
        <f>3.3*0.55</f>
        <v>1.8149999999999999</v>
      </c>
      <c r="F500" s="77">
        <v>1.58</v>
      </c>
      <c r="G500" s="77">
        <v>1.28</v>
      </c>
      <c r="H500" s="77">
        <v>1.2</v>
      </c>
      <c r="I500" s="77">
        <v>2.37</v>
      </c>
      <c r="J500" s="138">
        <v>2.0481310803891448</v>
      </c>
      <c r="K500" s="138">
        <v>2.6881720430107525</v>
      </c>
      <c r="L500" s="77">
        <f>1.0687/0.45436</f>
        <v>2.3520996566599175</v>
      </c>
      <c r="M500" s="77">
        <f t="shared" ref="M500:M505" si="1">3.2*0.55</f>
        <v>1.7600000000000002</v>
      </c>
      <c r="N500" s="77">
        <f>2.95*0.5</f>
        <v>1.4750000000000001</v>
      </c>
      <c r="O500" s="77">
        <f>4.92*0.7384</f>
        <v>3.6329279999999997</v>
      </c>
      <c r="P500" s="77">
        <f>5.24*0.7384</f>
        <v>3.8692159999999998</v>
      </c>
      <c r="Q500" s="116">
        <f>5.14*0.6786</f>
        <v>3.4880039999999997</v>
      </c>
      <c r="R500" s="74"/>
    </row>
    <row r="501" spans="1:18" s="75" customFormat="1" ht="27" customHeight="1" x14ac:dyDescent="0.2">
      <c r="A501" s="115" t="s">
        <v>530</v>
      </c>
      <c r="B501" s="77">
        <v>1.41</v>
      </c>
      <c r="C501" s="77">
        <v>0.61499999999999999</v>
      </c>
      <c r="D501" s="77">
        <v>1.78</v>
      </c>
      <c r="E501" s="77">
        <f>3.35*0.55</f>
        <v>1.8425000000000002</v>
      </c>
      <c r="F501" s="77">
        <v>1.59</v>
      </c>
      <c r="G501" s="77">
        <v>1.32</v>
      </c>
      <c r="H501" s="77">
        <v>1.24</v>
      </c>
      <c r="I501" s="77">
        <v>2.4500000000000002</v>
      </c>
      <c r="J501" s="138">
        <v>2.06</v>
      </c>
      <c r="K501" s="138">
        <v>2.8</v>
      </c>
      <c r="L501" s="77">
        <f>1.1263/0.45436</f>
        <v>2.4788713795228454</v>
      </c>
      <c r="M501" s="77">
        <f t="shared" si="1"/>
        <v>1.7600000000000002</v>
      </c>
      <c r="N501" s="77">
        <f>2.95*0.5</f>
        <v>1.4750000000000001</v>
      </c>
      <c r="O501" s="77">
        <f>5.25*0.7406</f>
        <v>3.88815</v>
      </c>
      <c r="P501" s="77">
        <f>5.22*0.7406</f>
        <v>3.8659319999999999</v>
      </c>
      <c r="Q501" s="116">
        <f>5.18*0.6775</f>
        <v>3.5094499999999997</v>
      </c>
      <c r="R501" s="74"/>
    </row>
    <row r="502" spans="1:18" s="75" customFormat="1" ht="25.5" customHeight="1" x14ac:dyDescent="0.2">
      <c r="A502" s="115" t="s">
        <v>531</v>
      </c>
      <c r="B502" s="77">
        <v>1.39</v>
      </c>
      <c r="C502" s="77">
        <v>0.60599999999999998</v>
      </c>
      <c r="D502" s="77">
        <v>1.78</v>
      </c>
      <c r="E502" s="77">
        <f>3.35*0.55</f>
        <v>1.8425000000000002</v>
      </c>
      <c r="F502" s="77">
        <v>1.6</v>
      </c>
      <c r="G502" s="77">
        <v>1.29</v>
      </c>
      <c r="H502" s="77">
        <v>1.21</v>
      </c>
      <c r="I502" s="77">
        <v>2.4900000000000002</v>
      </c>
      <c r="J502" s="138">
        <v>2.0263157894736845</v>
      </c>
      <c r="K502" s="138">
        <v>2.8684210526315792</v>
      </c>
      <c r="L502" s="77">
        <f>1.1105/0.45436</f>
        <v>2.4440971916541949</v>
      </c>
      <c r="M502" s="77">
        <f t="shared" si="1"/>
        <v>1.7600000000000002</v>
      </c>
      <c r="N502" s="77">
        <f>3*0.5</f>
        <v>1.5</v>
      </c>
      <c r="O502" s="77">
        <f>5.28*0.7371</f>
        <v>3.8918880000000002</v>
      </c>
      <c r="P502" s="77">
        <f>5.25*0.7371</f>
        <v>3.8697749999999997</v>
      </c>
      <c r="Q502" s="116">
        <f>5.22*0.6746</f>
        <v>3.5214119999999998</v>
      </c>
      <c r="R502" s="74"/>
    </row>
    <row r="503" spans="1:18" s="75" customFormat="1" ht="25.5" customHeight="1" x14ac:dyDescent="0.2">
      <c r="A503" s="115" t="s">
        <v>532</v>
      </c>
      <c r="B503" s="77">
        <v>1.4</v>
      </c>
      <c r="C503" s="77">
        <v>0.77</v>
      </c>
      <c r="D503" s="77" t="s">
        <v>35</v>
      </c>
      <c r="E503" s="77">
        <f>3.37*0.55</f>
        <v>1.8535000000000001</v>
      </c>
      <c r="F503" s="77">
        <v>1.62</v>
      </c>
      <c r="G503" s="77">
        <v>1.3</v>
      </c>
      <c r="H503" s="77">
        <v>1.2</v>
      </c>
      <c r="I503" s="77">
        <v>2.56</v>
      </c>
      <c r="J503" s="138">
        <v>2.064343163538874</v>
      </c>
      <c r="K503" s="138">
        <v>2.9222520107238608</v>
      </c>
      <c r="L503" s="77">
        <f>1.11261/0.45436</f>
        <v>2.4487410863632366</v>
      </c>
      <c r="M503" s="77">
        <f t="shared" si="1"/>
        <v>1.7600000000000002</v>
      </c>
      <c r="N503" s="77">
        <f>2.98*0.5</f>
        <v>1.49</v>
      </c>
      <c r="O503" s="77">
        <f>5.23*0.73786</f>
        <v>3.8590078000000001</v>
      </c>
      <c r="P503" s="77">
        <f>5.31*0.73786</f>
        <v>3.9180365999999993</v>
      </c>
      <c r="Q503" s="116">
        <f>5.25*0.6782</f>
        <v>3.5605500000000001</v>
      </c>
      <c r="R503" s="74"/>
    </row>
    <row r="504" spans="1:18" s="75" customFormat="1" ht="22.5" customHeight="1" x14ac:dyDescent="0.2">
      <c r="A504" s="115" t="s">
        <v>533</v>
      </c>
      <c r="B504" s="77">
        <v>1.43</v>
      </c>
      <c r="C504" s="77">
        <v>0.83799999999999997</v>
      </c>
      <c r="D504" s="77" t="s">
        <v>35</v>
      </c>
      <c r="E504" s="77">
        <f>3.43*0.55</f>
        <v>1.8865000000000003</v>
      </c>
      <c r="F504" s="77">
        <v>1.65</v>
      </c>
      <c r="G504" s="77">
        <v>1.31</v>
      </c>
      <c r="H504" s="77">
        <v>1.2</v>
      </c>
      <c r="I504" s="77">
        <v>2.59</v>
      </c>
      <c r="J504" s="138">
        <v>2.0754716981132075</v>
      </c>
      <c r="K504" s="138">
        <v>2.9380053908355794</v>
      </c>
      <c r="L504" s="77">
        <f>1.11173/0.45436</f>
        <v>2.4468042961528305</v>
      </c>
      <c r="M504" s="77">
        <f t="shared" si="1"/>
        <v>1.7600000000000002</v>
      </c>
      <c r="N504" s="77">
        <f>3.03*0.5</f>
        <v>1.5149999999999999</v>
      </c>
      <c r="O504" s="77">
        <f>4.97*0.7374</f>
        <v>3.6648780000000003</v>
      </c>
      <c r="P504" s="77">
        <f>5*0.7374</f>
        <v>3.6870000000000003</v>
      </c>
      <c r="Q504" s="116">
        <f>5.25*0.675</f>
        <v>3.5437500000000002</v>
      </c>
      <c r="R504" s="74"/>
    </row>
    <row r="505" spans="1:18" s="75" customFormat="1" ht="22.5" customHeight="1" x14ac:dyDescent="0.2">
      <c r="A505" s="115" t="s">
        <v>534</v>
      </c>
      <c r="B505" s="77">
        <v>1.46</v>
      </c>
      <c r="C505" s="77">
        <v>0.76500000000000001</v>
      </c>
      <c r="D505" s="77" t="s">
        <v>35</v>
      </c>
      <c r="E505" s="77">
        <f>3.45*0.55</f>
        <v>1.8975000000000002</v>
      </c>
      <c r="F505" s="77">
        <v>1.65</v>
      </c>
      <c r="G505" s="77">
        <v>1.28</v>
      </c>
      <c r="H505" s="77">
        <v>1.18</v>
      </c>
      <c r="I505" s="77">
        <v>2.5099999999999998</v>
      </c>
      <c r="J505" s="138">
        <v>2</v>
      </c>
      <c r="K505" s="138">
        <v>2.94</v>
      </c>
      <c r="L505" s="77">
        <f>1.1298/0.45436</f>
        <v>2.486574522405141</v>
      </c>
      <c r="M505" s="77">
        <f t="shared" si="1"/>
        <v>1.7600000000000002</v>
      </c>
      <c r="N505" s="77">
        <f>3.03*0.5</f>
        <v>1.5149999999999999</v>
      </c>
      <c r="O505" s="77">
        <f>4.92*0.7375</f>
        <v>3.6285000000000003</v>
      </c>
      <c r="P505" s="77">
        <f>4.79*0.7375</f>
        <v>3.5326250000000003</v>
      </c>
      <c r="Q505" s="116">
        <f>5.34*0.6614</f>
        <v>3.531876</v>
      </c>
      <c r="R505" s="74"/>
    </row>
    <row r="506" spans="1:18" s="75" customFormat="1" ht="26.25" customHeight="1" x14ac:dyDescent="0.2">
      <c r="A506" s="115" t="s">
        <v>535</v>
      </c>
      <c r="B506" s="77">
        <v>1.38</v>
      </c>
      <c r="C506" s="77">
        <v>0.753</v>
      </c>
      <c r="D506" s="77" t="s">
        <v>35</v>
      </c>
      <c r="E506" s="77">
        <f>3.4*0.55</f>
        <v>1.87</v>
      </c>
      <c r="F506" s="77">
        <v>1.64</v>
      </c>
      <c r="G506" s="77">
        <v>1.22</v>
      </c>
      <c r="H506" s="77">
        <v>1.1200000000000001</v>
      </c>
      <c r="I506" s="77">
        <v>2.4700000000000002</v>
      </c>
      <c r="J506" s="138">
        <v>1.95</v>
      </c>
      <c r="K506" s="138">
        <v>2.73</v>
      </c>
      <c r="L506" s="77">
        <f>1.1098/0.45436</f>
        <v>2.4425565630777357</v>
      </c>
      <c r="M506" s="77">
        <f>3.25*0.55</f>
        <v>1.7875000000000001</v>
      </c>
      <c r="N506" s="77">
        <f>3.08*0.5</f>
        <v>1.54</v>
      </c>
      <c r="O506" s="77">
        <f>4.96*0.7258</f>
        <v>3.5999680000000001</v>
      </c>
      <c r="P506" s="77">
        <f>5.07*0.7258</f>
        <v>3.6798060000000001</v>
      </c>
      <c r="Q506" s="116">
        <f>5.34*0.658</f>
        <v>3.5137200000000002</v>
      </c>
      <c r="R506" s="74"/>
    </row>
    <row r="507" spans="1:18" s="75" customFormat="1" ht="22.5" customHeight="1" x14ac:dyDescent="0.2">
      <c r="A507" s="115" t="s">
        <v>536</v>
      </c>
      <c r="B507" s="77">
        <v>1.38</v>
      </c>
      <c r="C507" s="77">
        <v>0.76</v>
      </c>
      <c r="D507" s="77" t="s">
        <v>35</v>
      </c>
      <c r="E507" s="77">
        <f>3.37*0.55</f>
        <v>1.8535000000000001</v>
      </c>
      <c r="F507" s="77">
        <v>1.59</v>
      </c>
      <c r="G507" s="77">
        <v>1.19</v>
      </c>
      <c r="H507" s="77">
        <v>1.0900000000000001</v>
      </c>
      <c r="I507" s="77">
        <v>2.37</v>
      </c>
      <c r="J507" s="138">
        <v>1.9698443579766536</v>
      </c>
      <c r="K507" s="138">
        <v>2.6629377431906613</v>
      </c>
      <c r="L507" s="77">
        <f>1.10991/0.45436</f>
        <v>2.4427986618540363</v>
      </c>
      <c r="M507" s="77">
        <f>3.25*0.55</f>
        <v>1.7875000000000001</v>
      </c>
      <c r="N507" s="77">
        <f>3.08*0.5</f>
        <v>1.54</v>
      </c>
      <c r="O507" s="77">
        <f>4.73*0.7251</f>
        <v>3.4297230000000001</v>
      </c>
      <c r="P507" s="77">
        <f>4.94*0.7251</f>
        <v>3.5819939999999999</v>
      </c>
      <c r="Q507" s="116">
        <f>5.375*0.6639</f>
        <v>3.5684625000000003</v>
      </c>
      <c r="R507" s="74"/>
    </row>
    <row r="508" spans="1:18" s="75" customFormat="1" ht="24" customHeight="1" x14ac:dyDescent="0.2">
      <c r="A508" s="115" t="s">
        <v>537</v>
      </c>
      <c r="B508" s="77">
        <v>1.1499999999999999</v>
      </c>
      <c r="C508" s="77">
        <v>0.64</v>
      </c>
      <c r="D508" s="77" t="s">
        <v>35</v>
      </c>
      <c r="E508" s="77">
        <f>3.3*0.55</f>
        <v>1.8149999999999999</v>
      </c>
      <c r="F508" s="77">
        <v>1.55</v>
      </c>
      <c r="G508" s="77">
        <v>1.1299999999999999</v>
      </c>
      <c r="H508" s="77">
        <v>1.03</v>
      </c>
      <c r="I508" s="77">
        <v>2.41</v>
      </c>
      <c r="J508" s="138">
        <v>1.99</v>
      </c>
      <c r="K508" s="138">
        <v>2.73</v>
      </c>
      <c r="L508" s="77">
        <f>1.10902/0.45436</f>
        <v>2.4408398626639669</v>
      </c>
      <c r="M508" s="77">
        <f>3.2*0.55</f>
        <v>1.7600000000000002</v>
      </c>
      <c r="N508" s="77">
        <f>3*0.5</f>
        <v>1.5</v>
      </c>
      <c r="O508" s="77">
        <f>4.79*0.7264</f>
        <v>3.4794560000000003</v>
      </c>
      <c r="P508" s="77">
        <f>4.91*0.7264</f>
        <v>3.5666240000000005</v>
      </c>
      <c r="Q508" s="116">
        <f>5.392*0.6654</f>
        <v>3.5878368000000003</v>
      </c>
      <c r="R508" s="74"/>
    </row>
    <row r="509" spans="1:18" s="75" customFormat="1" ht="25.5" customHeight="1" x14ac:dyDescent="0.2">
      <c r="A509" s="115" t="s">
        <v>538</v>
      </c>
      <c r="B509" s="77">
        <v>1.42</v>
      </c>
      <c r="C509" s="77">
        <v>0.88</v>
      </c>
      <c r="D509" s="77" t="s">
        <v>35</v>
      </c>
      <c r="E509" s="77">
        <f>3.25*0.55</f>
        <v>1.7875000000000001</v>
      </c>
      <c r="F509" s="77">
        <v>1.53</v>
      </c>
      <c r="G509" s="77">
        <v>1.07</v>
      </c>
      <c r="H509" s="77">
        <v>0.95</v>
      </c>
      <c r="I509" s="77">
        <v>2.4</v>
      </c>
      <c r="J509" s="138">
        <v>2.0170109356014581</v>
      </c>
      <c r="K509" s="138">
        <v>2.7946537059538272</v>
      </c>
      <c r="L509" s="77">
        <f>1.10718/0.45436</f>
        <v>2.4367902104058459</v>
      </c>
      <c r="M509" s="77">
        <f>3.18*0.55</f>
        <v>1.7490000000000003</v>
      </c>
      <c r="N509" s="77">
        <f>2.98*0.5</f>
        <v>1.49</v>
      </c>
      <c r="O509" s="77">
        <f>5.31*0.7197</f>
        <v>3.8216069999999998</v>
      </c>
      <c r="P509" s="77">
        <f>5.11*0.7197</f>
        <v>3.6776670000000005</v>
      </c>
      <c r="Q509" s="116">
        <f>5.5*0.6589</f>
        <v>3.6239500000000002</v>
      </c>
      <c r="R509" s="74"/>
    </row>
    <row r="510" spans="1:18" s="75" customFormat="1" ht="25.5" customHeight="1" x14ac:dyDescent="0.2">
      <c r="A510" s="115" t="s">
        <v>539</v>
      </c>
      <c r="B510" s="77">
        <v>1.32</v>
      </c>
      <c r="C510" s="77">
        <v>0.81</v>
      </c>
      <c r="D510" s="77" t="s">
        <v>35</v>
      </c>
      <c r="E510" s="77">
        <f>3.2*0.55</f>
        <v>1.7600000000000002</v>
      </c>
      <c r="F510" s="77">
        <v>1.53</v>
      </c>
      <c r="G510" s="77">
        <v>1.07</v>
      </c>
      <c r="H510" s="77">
        <v>0.95</v>
      </c>
      <c r="I510" s="77">
        <v>2.39</v>
      </c>
      <c r="J510" s="138">
        <v>2.0299999999999998</v>
      </c>
      <c r="K510" s="138">
        <v>2.8</v>
      </c>
      <c r="L510" s="77">
        <f>1.10767/0.45436</f>
        <v>2.4378686504093667</v>
      </c>
      <c r="M510" s="77">
        <f>3.15*0.55</f>
        <v>1.7325000000000002</v>
      </c>
      <c r="N510" s="77">
        <f>3*0.5</f>
        <v>1.5</v>
      </c>
      <c r="O510" s="77">
        <f>5.02*0.71785</f>
        <v>3.6036069999999998</v>
      </c>
      <c r="P510" s="77">
        <f>5.11*0.71785</f>
        <v>3.6682135000000002</v>
      </c>
      <c r="Q510" s="116">
        <f>5.5*0.656783</f>
        <v>3.6123064999999999</v>
      </c>
      <c r="R510" s="74"/>
    </row>
    <row r="511" spans="1:18" s="75" customFormat="1" ht="26.25" customHeight="1" x14ac:dyDescent="0.2">
      <c r="A511" s="115" t="s">
        <v>540</v>
      </c>
      <c r="B511" s="77">
        <v>1.4</v>
      </c>
      <c r="C511" s="77">
        <v>0.87</v>
      </c>
      <c r="D511" s="77" t="s">
        <v>35</v>
      </c>
      <c r="E511" s="77">
        <f>3.14*0.55</f>
        <v>1.7270000000000003</v>
      </c>
      <c r="F511" s="77">
        <v>1.52</v>
      </c>
      <c r="G511" s="77">
        <v>1.06</v>
      </c>
      <c r="H511" s="77">
        <v>0.93</v>
      </c>
      <c r="I511" s="77">
        <v>2.4700000000000002</v>
      </c>
      <c r="J511" s="138">
        <v>2.09</v>
      </c>
      <c r="K511" s="138">
        <v>2.9</v>
      </c>
      <c r="L511" s="77">
        <f>1.10767/0.45436</f>
        <v>2.4378686504093667</v>
      </c>
      <c r="M511" s="77">
        <f>3.1*0.55</f>
        <v>1.7050000000000003</v>
      </c>
      <c r="N511" s="77">
        <f>2.9*0.5</f>
        <v>1.45</v>
      </c>
      <c r="O511" s="77">
        <f>4.99*0.7287</f>
        <v>3.6362130000000001</v>
      </c>
      <c r="P511" s="77">
        <f>5.25*0.7287</f>
        <v>3.8256749999999999</v>
      </c>
      <c r="Q511" s="116">
        <f>5.52*0.6687</f>
        <v>3.6912239999999996</v>
      </c>
      <c r="R511" s="74"/>
    </row>
    <row r="512" spans="1:18" s="75" customFormat="1" ht="21" customHeight="1" x14ac:dyDescent="0.2">
      <c r="A512" s="115" t="s">
        <v>541</v>
      </c>
      <c r="B512" s="77">
        <v>1.35</v>
      </c>
      <c r="C512" s="77">
        <v>0.82</v>
      </c>
      <c r="D512" s="77" t="s">
        <v>35</v>
      </c>
      <c r="E512" s="77">
        <f>3.1*0.55</f>
        <v>1.7050000000000003</v>
      </c>
      <c r="F512" s="77">
        <v>1.51</v>
      </c>
      <c r="G512" s="77">
        <v>1.0900000000000001</v>
      </c>
      <c r="H512" s="77">
        <v>0.94</v>
      </c>
      <c r="I512" s="77">
        <v>2.52</v>
      </c>
      <c r="J512" s="138">
        <v>2.1091811414392057</v>
      </c>
      <c r="K512" s="138">
        <v>2.9156327543424316</v>
      </c>
      <c r="L512" s="77">
        <f>1.1061/0.45436</f>
        <v>2.4344132406021659</v>
      </c>
      <c r="M512" s="77">
        <f>3*0.55</f>
        <v>1.6500000000000001</v>
      </c>
      <c r="N512" s="77">
        <f>2.8*0.5</f>
        <v>1.4</v>
      </c>
      <c r="O512" s="77">
        <f>4.97*0.7215</f>
        <v>3.585855</v>
      </c>
      <c r="P512" s="77">
        <f>5.21*0.7215</f>
        <v>3.7590150000000002</v>
      </c>
      <c r="Q512" s="116">
        <f>5.5*0.6619</f>
        <v>3.6404500000000004</v>
      </c>
      <c r="R512" s="74"/>
    </row>
    <row r="513" spans="1:18" s="75" customFormat="1" ht="21" customHeight="1" x14ac:dyDescent="0.2">
      <c r="A513" s="115" t="s">
        <v>542</v>
      </c>
      <c r="B513" s="77">
        <v>1.4</v>
      </c>
      <c r="C513" s="77">
        <v>0.87</v>
      </c>
      <c r="D513" s="77" t="s">
        <v>35</v>
      </c>
      <c r="E513" s="77">
        <f>3.13*0.55</f>
        <v>1.7215</v>
      </c>
      <c r="F513" s="77">
        <v>1.53</v>
      </c>
      <c r="G513" s="77">
        <v>1.1599999999999999</v>
      </c>
      <c r="H513" s="77">
        <v>1.01</v>
      </c>
      <c r="I513" s="77">
        <v>2.57</v>
      </c>
      <c r="J513" s="138">
        <v>2.1992238033635187</v>
      </c>
      <c r="K513" s="138">
        <v>3.0401034928848638</v>
      </c>
      <c r="L513" s="77">
        <f>1.1061/0.45436</f>
        <v>2.4344132406021659</v>
      </c>
      <c r="M513" s="77">
        <f>2.95*0.55</f>
        <v>1.6225000000000003</v>
      </c>
      <c r="N513" s="77">
        <f>2.8*0.5</f>
        <v>1.4</v>
      </c>
      <c r="O513" s="77">
        <f>4.86*0.70543</f>
        <v>3.4283898000000002</v>
      </c>
      <c r="P513" s="77">
        <f>5.13*0.705043</f>
        <v>3.61687059</v>
      </c>
      <c r="Q513" s="116" t="s">
        <v>544</v>
      </c>
      <c r="R513" s="74"/>
    </row>
    <row r="514" spans="1:18" s="75" customFormat="1" ht="24" customHeight="1" x14ac:dyDescent="0.2">
      <c r="A514" s="115" t="s">
        <v>543</v>
      </c>
      <c r="B514" s="77">
        <v>1.48</v>
      </c>
      <c r="C514" s="77">
        <v>0.89</v>
      </c>
      <c r="D514" s="77" t="s">
        <v>35</v>
      </c>
      <c r="E514" s="77">
        <f>3.17*0.55</f>
        <v>1.7435</v>
      </c>
      <c r="F514" s="77">
        <v>1.54</v>
      </c>
      <c r="G514" s="77">
        <v>1.24</v>
      </c>
      <c r="H514" s="77">
        <v>1.0900000000000001</v>
      </c>
      <c r="I514" s="77">
        <v>2.6</v>
      </c>
      <c r="J514" s="138">
        <v>2.2281167108753315</v>
      </c>
      <c r="K514" s="138">
        <v>3.090185676392573</v>
      </c>
      <c r="L514" s="77">
        <f>1.1095/0.45436</f>
        <v>2.4418962936878246</v>
      </c>
      <c r="M514" s="77">
        <f>3.1*0.55</f>
        <v>1.7050000000000003</v>
      </c>
      <c r="N514" s="77">
        <f>2.9*0.5</f>
        <v>1.45</v>
      </c>
      <c r="O514" s="77">
        <f>4.79*0.71165</f>
        <v>3.4088034999999999</v>
      </c>
      <c r="P514" s="77">
        <f>5.12*0.711675</f>
        <v>3.6437759999999999</v>
      </c>
      <c r="Q514" s="116">
        <f>5.33*0.6592</f>
        <v>3.5135360000000002</v>
      </c>
      <c r="R514" s="74"/>
    </row>
    <row r="515" spans="1:18" s="75" customFormat="1" ht="24" customHeight="1" x14ac:dyDescent="0.2">
      <c r="A515" s="115" t="s">
        <v>545</v>
      </c>
      <c r="B515" s="77">
        <v>1.48</v>
      </c>
      <c r="C515" s="77">
        <v>0.86</v>
      </c>
      <c r="D515" s="77" t="s">
        <v>35</v>
      </c>
      <c r="E515" s="77">
        <f>3.24*0.55</f>
        <v>1.7820000000000003</v>
      </c>
      <c r="F515" s="77">
        <v>1.59</v>
      </c>
      <c r="G515" s="77">
        <v>1.24</v>
      </c>
      <c r="H515" s="77">
        <v>1.0900000000000001</v>
      </c>
      <c r="I515" s="77">
        <v>2.68</v>
      </c>
      <c r="J515" s="138">
        <v>2.2371967654986524</v>
      </c>
      <c r="K515" s="138">
        <v>3.0997304582210243</v>
      </c>
      <c r="L515" s="77">
        <f>1.1052/0.45436</f>
        <v>2.4324324324324325</v>
      </c>
      <c r="M515" s="77">
        <f>3.1*0.55</f>
        <v>1.7050000000000003</v>
      </c>
      <c r="N515" s="77">
        <f>2.9*0.5</f>
        <v>1.45</v>
      </c>
      <c r="O515" s="77">
        <f>5.23*0.71155</f>
        <v>3.7214065000000005</v>
      </c>
      <c r="P515" s="77">
        <f>5.25*0.71155</f>
        <v>3.7356375000000002</v>
      </c>
      <c r="Q515" s="116">
        <f>5.33*0.6553</f>
        <v>3.4927489999999999</v>
      </c>
      <c r="R515" s="74"/>
    </row>
    <row r="516" spans="1:18" s="75" customFormat="1" ht="22.5" customHeight="1" x14ac:dyDescent="0.2">
      <c r="A516" s="115" t="s">
        <v>546</v>
      </c>
      <c r="B516" s="77">
        <v>1.48</v>
      </c>
      <c r="C516" s="77">
        <v>0.86</v>
      </c>
      <c r="D516" s="77" t="s">
        <v>35</v>
      </c>
      <c r="E516" s="77">
        <f>3.3*0.55</f>
        <v>1.8149999999999999</v>
      </c>
      <c r="F516" s="77">
        <v>1.62</v>
      </c>
      <c r="G516" s="77">
        <v>1.24</v>
      </c>
      <c r="H516" s="77">
        <v>1.0900000000000001</v>
      </c>
      <c r="I516" s="77">
        <v>2.71</v>
      </c>
      <c r="J516" s="138">
        <v>2.15</v>
      </c>
      <c r="K516" s="138">
        <v>3.15</v>
      </c>
      <c r="L516" s="77">
        <f>1.1005/0.45436</f>
        <v>2.4220882119904923</v>
      </c>
      <c r="M516" s="77">
        <f>3.15*0.55</f>
        <v>1.7325000000000002</v>
      </c>
      <c r="N516" s="77">
        <f>3*0.5</f>
        <v>1.5</v>
      </c>
      <c r="O516" s="77">
        <f>5.19*0.7081</f>
        <v>3.6750389999999999</v>
      </c>
      <c r="P516" s="77">
        <f>5.32*0.7081</f>
        <v>3.7670919999999999</v>
      </c>
      <c r="Q516" s="116">
        <f>5.24*0.6518</f>
        <v>3.4154320000000005</v>
      </c>
      <c r="R516" s="74"/>
    </row>
    <row r="517" spans="1:18" s="75" customFormat="1" ht="21.75" customHeight="1" x14ac:dyDescent="0.2">
      <c r="A517" s="115" t="s">
        <v>547</v>
      </c>
      <c r="B517" s="77">
        <v>1.52</v>
      </c>
      <c r="C517" s="77">
        <v>0.88</v>
      </c>
      <c r="D517" s="77" t="s">
        <v>35</v>
      </c>
      <c r="E517" s="77">
        <f>3.3*0.55</f>
        <v>1.8149999999999999</v>
      </c>
      <c r="F517" s="77">
        <v>1.62</v>
      </c>
      <c r="G517" s="77">
        <v>1.25</v>
      </c>
      <c r="H517" s="77">
        <v>1.1000000000000001</v>
      </c>
      <c r="I517" s="77">
        <v>2.62</v>
      </c>
      <c r="J517" s="138">
        <v>2.128524945770065</v>
      </c>
      <c r="K517" s="138">
        <v>3.1182212581344899</v>
      </c>
      <c r="L517" s="77">
        <f>1.1381/0.45436</f>
        <v>2.5048419755260145</v>
      </c>
      <c r="M517" s="77">
        <f>3.2*0.55</f>
        <v>1.7600000000000002</v>
      </c>
      <c r="N517" s="77">
        <f>3.05*0.5</f>
        <v>1.5249999999999999</v>
      </c>
      <c r="O517" s="77">
        <f>5.34*0.7203</f>
        <v>3.8464020000000003</v>
      </c>
      <c r="P517" s="77">
        <f>5.59*0.7203</f>
        <v>4.0264769999999999</v>
      </c>
      <c r="Q517" s="116">
        <f>5.2*0.6656</f>
        <v>3.4611199999999998</v>
      </c>
      <c r="R517" s="74"/>
    </row>
    <row r="518" spans="1:18" s="75" customFormat="1" ht="24" customHeight="1" x14ac:dyDescent="0.2">
      <c r="A518" s="115" t="s">
        <v>548</v>
      </c>
      <c r="B518" s="77">
        <v>1.53</v>
      </c>
      <c r="C518" s="77">
        <v>0.88</v>
      </c>
      <c r="D518" s="77" t="s">
        <v>35</v>
      </c>
      <c r="E518" s="77">
        <f>3.25*0.55</f>
        <v>1.7875000000000001</v>
      </c>
      <c r="F518" s="77">
        <v>1.6</v>
      </c>
      <c r="G518" s="77">
        <v>1.24</v>
      </c>
      <c r="H518" s="77">
        <v>1.1000000000000001</v>
      </c>
      <c r="I518" s="77">
        <v>2.6</v>
      </c>
      <c r="J518" s="138">
        <v>2.1413276231263381</v>
      </c>
      <c r="K518" s="138">
        <v>3.2521413276231264</v>
      </c>
      <c r="L518" s="77">
        <f>1.1495/0.45436</f>
        <v>2.529932212342636</v>
      </c>
      <c r="M518" s="77">
        <f>3.2*0.55</f>
        <v>1.7600000000000002</v>
      </c>
      <c r="N518" s="77">
        <f>3.05*0.5</f>
        <v>1.5249999999999999</v>
      </c>
      <c r="O518" s="77">
        <f>5.19*0.7282</f>
        <v>3.7793580000000002</v>
      </c>
      <c r="P518" s="77">
        <f>5.51*0.7282</f>
        <v>4.0123819999999997</v>
      </c>
      <c r="Q518" s="116">
        <f>5.2*0.6776</f>
        <v>3.52352</v>
      </c>
      <c r="R518" s="74"/>
    </row>
    <row r="519" spans="1:18" s="75" customFormat="1" ht="27" customHeight="1" x14ac:dyDescent="0.2">
      <c r="A519" s="115" t="s">
        <v>549</v>
      </c>
      <c r="B519" s="77">
        <v>1.51</v>
      </c>
      <c r="C519" s="77">
        <v>0.89</v>
      </c>
      <c r="D519" s="77" t="s">
        <v>35</v>
      </c>
      <c r="E519" s="77">
        <f>3.15*0.55</f>
        <v>1.7325000000000002</v>
      </c>
      <c r="F519" s="77">
        <v>1.55</v>
      </c>
      <c r="G519" s="77">
        <v>1.24</v>
      </c>
      <c r="H519" s="77">
        <v>1.1100000000000001</v>
      </c>
      <c r="I519" s="77">
        <v>2.58</v>
      </c>
      <c r="J519" s="138">
        <v>2.0855614973262031</v>
      </c>
      <c r="K519" s="138">
        <v>3.3155080213903743</v>
      </c>
      <c r="L519" s="77">
        <f>1.137/0.45436</f>
        <v>2.5024209877630073</v>
      </c>
      <c r="M519" s="77">
        <f>3.15*0.55</f>
        <v>1.7325000000000002</v>
      </c>
      <c r="N519" s="77">
        <f>3*0.5</f>
        <v>1.5</v>
      </c>
      <c r="O519" s="77">
        <f>5.14*0.7258</f>
        <v>3.7306119999999998</v>
      </c>
      <c r="P519" s="77">
        <f>5.38*0.7258</f>
        <v>3.9048039999999999</v>
      </c>
      <c r="Q519" s="116">
        <f>5.18*0.6821</f>
        <v>3.5332780000000001</v>
      </c>
      <c r="R519" s="74"/>
    </row>
    <row r="520" spans="1:18" s="75" customFormat="1" ht="30.75" customHeight="1" x14ac:dyDescent="0.2">
      <c r="A520" s="115" t="s">
        <v>550</v>
      </c>
      <c r="B520" s="77">
        <v>1.46</v>
      </c>
      <c r="C520" s="77">
        <v>0.87</v>
      </c>
      <c r="D520" s="77" t="s">
        <v>35</v>
      </c>
      <c r="E520" s="77">
        <f>3.09*0.55</f>
        <v>1.6995</v>
      </c>
      <c r="F520" s="77">
        <v>1.52</v>
      </c>
      <c r="G520" s="77">
        <v>1.25</v>
      </c>
      <c r="H520" s="77">
        <v>1.1200000000000001</v>
      </c>
      <c r="I520" s="77">
        <v>2.58</v>
      </c>
      <c r="J520" s="138">
        <v>2.0440251572327046</v>
      </c>
      <c r="K520" s="138">
        <v>3.249475890985325</v>
      </c>
      <c r="L520" s="77">
        <f>1.13/0.45436</f>
        <v>2.4870147019984152</v>
      </c>
      <c r="M520" s="77">
        <f>3.18*0.55</f>
        <v>1.7490000000000003</v>
      </c>
      <c r="N520" s="77">
        <f>3.03*0.5</f>
        <v>1.5149999999999999</v>
      </c>
      <c r="O520" s="77">
        <f>5.32*0.7232</f>
        <v>3.8474240000000002</v>
      </c>
      <c r="P520" s="77">
        <f>5.45*0.7232</f>
        <v>3.9414400000000001</v>
      </c>
      <c r="Q520" s="116">
        <f>5.07*0.6777</f>
        <v>3.4359389999999999</v>
      </c>
      <c r="R520" s="74"/>
    </row>
    <row r="521" spans="1:18" s="75" customFormat="1" ht="30" customHeight="1" x14ac:dyDescent="0.2">
      <c r="A521" s="115" t="s">
        <v>551</v>
      </c>
      <c r="B521" s="77">
        <v>1.44</v>
      </c>
      <c r="C521" s="77">
        <v>0.83</v>
      </c>
      <c r="D521" s="77" t="s">
        <v>35</v>
      </c>
      <c r="E521" s="77">
        <f>3.04*0.55</f>
        <v>1.6720000000000002</v>
      </c>
      <c r="F521" s="77">
        <v>1.5</v>
      </c>
      <c r="G521" s="77">
        <v>1.25</v>
      </c>
      <c r="H521" s="77">
        <v>1.1200000000000001</v>
      </c>
      <c r="I521" s="77">
        <v>2.5499999999999998</v>
      </c>
      <c r="J521" s="138">
        <v>1.8701298701298701</v>
      </c>
      <c r="K521" s="138">
        <v>3.3116883116883118</v>
      </c>
      <c r="L521" s="77">
        <f>1.1539/0.45436</f>
        <v>2.539616163394665</v>
      </c>
      <c r="M521" s="77">
        <f>3.15*0.55</f>
        <v>1.7325000000000002</v>
      </c>
      <c r="N521" s="77">
        <f>3*0.5</f>
        <v>1.5</v>
      </c>
      <c r="O521" s="77">
        <f>5.14*0.7317</f>
        <v>3.7609379999999999</v>
      </c>
      <c r="P521" s="77">
        <f>5.35*0.7317</f>
        <v>3.9145949999999998</v>
      </c>
      <c r="Q521" s="116">
        <f>5.08*0.6864</f>
        <v>3.4869120000000002</v>
      </c>
      <c r="R521" s="74"/>
    </row>
    <row r="522" spans="1:18" s="75" customFormat="1" ht="29.25" customHeight="1" x14ac:dyDescent="0.2">
      <c r="A522" s="115" t="s">
        <v>552</v>
      </c>
      <c r="B522" s="77">
        <v>1.44</v>
      </c>
      <c r="C522" s="77">
        <v>0.85</v>
      </c>
      <c r="D522" s="77" t="s">
        <v>35</v>
      </c>
      <c r="E522" s="77">
        <f>2.99*0.55</f>
        <v>1.6445000000000003</v>
      </c>
      <c r="F522" s="77">
        <v>1.45</v>
      </c>
      <c r="G522" s="77">
        <v>1.28</v>
      </c>
      <c r="H522" s="77">
        <v>1.19</v>
      </c>
      <c r="I522" s="77">
        <v>2.5499999999999998</v>
      </c>
      <c r="J522" s="138">
        <v>1.8461538461538463</v>
      </c>
      <c r="K522" s="138">
        <v>3.3717948717948718</v>
      </c>
      <c r="L522" s="77">
        <f>1.171/0.45436</f>
        <v>2.577251518619597</v>
      </c>
      <c r="M522" s="77">
        <f>3.15*0.55</f>
        <v>1.7325000000000002</v>
      </c>
      <c r="N522" s="77">
        <f>2.95*0.5</f>
        <v>1.4750000000000001</v>
      </c>
      <c r="O522" s="77">
        <f>5.11*0.7235</f>
        <v>3.6970850000000004</v>
      </c>
      <c r="P522" s="77">
        <f>5.41*0.7235</f>
        <v>3.9141350000000004</v>
      </c>
      <c r="Q522" s="116">
        <f>5.01*0.6879</f>
        <v>3.4463789999999994</v>
      </c>
      <c r="R522" s="74"/>
    </row>
    <row r="523" spans="1:18" s="75" customFormat="1" ht="24.75" customHeight="1" x14ac:dyDescent="0.2">
      <c r="A523" s="115" t="s">
        <v>553</v>
      </c>
      <c r="B523" s="77">
        <v>1.4</v>
      </c>
      <c r="C523" s="77">
        <v>0.8</v>
      </c>
      <c r="D523" s="77" t="s">
        <v>35</v>
      </c>
      <c r="E523" s="77">
        <f>2.97*0.55</f>
        <v>1.6335000000000002</v>
      </c>
      <c r="F523" s="77">
        <v>1.45</v>
      </c>
      <c r="G523" s="77">
        <v>1.28</v>
      </c>
      <c r="H523" s="77">
        <v>1.2</v>
      </c>
      <c r="I523" s="77">
        <v>2.56</v>
      </c>
      <c r="J523" s="138">
        <v>1.8797953964194372</v>
      </c>
      <c r="K523" s="138">
        <v>3.4654731457800514</v>
      </c>
      <c r="L523" s="77">
        <f>1.1811/0.45436</f>
        <v>2.599480588079937</v>
      </c>
      <c r="M523" s="77">
        <f>3.12*0.55</f>
        <v>1.7160000000000002</v>
      </c>
      <c r="N523" s="77">
        <f>2.95*0.5</f>
        <v>1.4750000000000001</v>
      </c>
      <c r="O523" s="77">
        <f>5.03*0.7225</f>
        <v>3.6341750000000004</v>
      </c>
      <c r="P523" s="77">
        <f>5.17*0.7225</f>
        <v>3.735325</v>
      </c>
      <c r="Q523" s="116">
        <f>5.001*0.6863</f>
        <v>3.4321863000000001</v>
      </c>
      <c r="R523" s="74"/>
    </row>
    <row r="524" spans="1:18" s="75" customFormat="1" ht="24" customHeight="1" x14ac:dyDescent="0.2">
      <c r="A524" s="115" t="s">
        <v>555</v>
      </c>
      <c r="B524" s="77">
        <v>1.4</v>
      </c>
      <c r="C524" s="77">
        <v>0.77</v>
      </c>
      <c r="D524" s="77" t="s">
        <v>35</v>
      </c>
      <c r="E524" s="77">
        <f>3.01*0.55</f>
        <v>1.6555</v>
      </c>
      <c r="F524" s="77">
        <v>1.45</v>
      </c>
      <c r="G524" s="77">
        <v>1.28</v>
      </c>
      <c r="H524" s="77">
        <v>1.21</v>
      </c>
      <c r="I524" s="77">
        <v>2.62</v>
      </c>
      <c r="J524" s="138">
        <v>1.7692307692307694</v>
      </c>
      <c r="K524" s="138">
        <v>3.5</v>
      </c>
      <c r="L524" s="77">
        <f>1.1814/0.45436</f>
        <v>2.6001408574698477</v>
      </c>
      <c r="M524" s="77">
        <f>3.05*0.55</f>
        <v>1.6775</v>
      </c>
      <c r="N524" s="77">
        <f>2.9*0.5</f>
        <v>1.45</v>
      </c>
      <c r="O524" s="77" t="s">
        <v>554</v>
      </c>
      <c r="P524" s="77" t="s">
        <v>554</v>
      </c>
      <c r="Q524" s="116">
        <f>5.001*0.6711</f>
        <v>3.3561711000000005</v>
      </c>
      <c r="R524" s="74"/>
    </row>
    <row r="525" spans="1:18" s="75" customFormat="1" ht="26.25" customHeight="1" x14ac:dyDescent="0.2">
      <c r="A525" s="115" t="s">
        <v>556</v>
      </c>
      <c r="B525" s="77">
        <v>1.4</v>
      </c>
      <c r="C525" s="77">
        <v>0.78</v>
      </c>
      <c r="D525" s="77" t="s">
        <v>35</v>
      </c>
      <c r="E525" s="77">
        <f>3.01*0.55</f>
        <v>1.6555</v>
      </c>
      <c r="F525" s="77">
        <v>1.46</v>
      </c>
      <c r="G525" s="77">
        <v>1.29</v>
      </c>
      <c r="H525" s="77">
        <v>1.23</v>
      </c>
      <c r="I525" s="77">
        <v>2.61</v>
      </c>
      <c r="J525" s="138">
        <v>1.78</v>
      </c>
      <c r="K525" s="138">
        <v>3.52</v>
      </c>
      <c r="L525" s="77">
        <f>1.1881/0.45436</f>
        <v>2.6148868738445286</v>
      </c>
      <c r="M525" s="77">
        <f>3.05*0.55</f>
        <v>1.6775</v>
      </c>
      <c r="N525" s="77">
        <f>2.9*0.5</f>
        <v>1.45</v>
      </c>
      <c r="O525" s="77" t="s">
        <v>554</v>
      </c>
      <c r="P525" s="77" t="s">
        <v>554</v>
      </c>
      <c r="Q525" s="116">
        <f>5.025*0.6706</f>
        <v>3.3697650000000001</v>
      </c>
      <c r="R525" s="74"/>
    </row>
    <row r="526" spans="1:18" ht="29.25" customHeight="1" x14ac:dyDescent="0.2">
      <c r="A526" s="117" t="s">
        <v>557</v>
      </c>
      <c r="B526" s="78">
        <v>1.43</v>
      </c>
      <c r="C526" s="79">
        <v>0.85599999999999998</v>
      </c>
      <c r="D526" s="78" t="s">
        <v>35</v>
      </c>
      <c r="E526" s="79">
        <f>3.07*0.55</f>
        <v>1.6885000000000001</v>
      </c>
      <c r="F526" s="78">
        <v>1.48</v>
      </c>
      <c r="G526" s="79">
        <v>1.3</v>
      </c>
      <c r="H526" s="78">
        <v>1.23</v>
      </c>
      <c r="I526" s="79">
        <v>2.7</v>
      </c>
      <c r="J526" s="139">
        <v>1.9086021505376343</v>
      </c>
      <c r="K526" s="139">
        <v>3.64247311827957</v>
      </c>
      <c r="L526" s="79">
        <f>1.2252/0.45436</f>
        <v>2.6965401883968663</v>
      </c>
      <c r="M526" s="79">
        <f>3.1*0.55</f>
        <v>1.7050000000000003</v>
      </c>
      <c r="N526" s="79">
        <f>2.95*0.5</f>
        <v>1.4750000000000001</v>
      </c>
      <c r="O526" s="79" t="s">
        <v>554</v>
      </c>
      <c r="P526" s="79" t="s">
        <v>554</v>
      </c>
      <c r="Q526" s="118">
        <f>5.017*0.6772</f>
        <v>3.3975124000000005</v>
      </c>
    </row>
    <row r="527" spans="1:18" ht="21.75" customHeight="1" x14ac:dyDescent="0.2">
      <c r="A527" s="117" t="s">
        <v>558</v>
      </c>
      <c r="B527" s="78">
        <v>1.43</v>
      </c>
      <c r="C527" s="78">
        <v>0.93</v>
      </c>
      <c r="D527" s="78" t="s">
        <v>35</v>
      </c>
      <c r="E527" s="79">
        <f>3.12*0.55</f>
        <v>1.7160000000000002</v>
      </c>
      <c r="F527" s="78">
        <v>1.53</v>
      </c>
      <c r="G527" s="78">
        <v>1.37</v>
      </c>
      <c r="H527" s="78">
        <v>1.28</v>
      </c>
      <c r="I527" s="79">
        <v>2.7</v>
      </c>
      <c r="J527" s="139">
        <v>1.9220430107526882</v>
      </c>
      <c r="K527" s="139">
        <v>3.561827956989247</v>
      </c>
      <c r="L527" s="79">
        <f>1.2255/0.45436</f>
        <v>2.697200457786777</v>
      </c>
      <c r="M527" s="79">
        <f>3.05*0.55</f>
        <v>1.6775</v>
      </c>
      <c r="N527" s="79">
        <f>2.9*0.5</f>
        <v>1.45</v>
      </c>
      <c r="O527" s="79">
        <f>5.05*0.71883</f>
        <v>3.6300914999999998</v>
      </c>
      <c r="P527" s="79">
        <f>5.15*0.71883</f>
        <v>3.7019744999999999</v>
      </c>
      <c r="Q527" s="118" t="s">
        <v>554</v>
      </c>
    </row>
    <row r="528" spans="1:18" ht="26.25" customHeight="1" x14ac:dyDescent="0.2">
      <c r="A528" s="117" t="s">
        <v>559</v>
      </c>
      <c r="B528" s="78">
        <v>1.46</v>
      </c>
      <c r="C528" s="79">
        <v>0.92759999999999998</v>
      </c>
      <c r="D528" s="78" t="s">
        <v>35</v>
      </c>
      <c r="E528" s="79">
        <f>3.12*0.55</f>
        <v>1.7160000000000002</v>
      </c>
      <c r="F528" s="78">
        <v>1.53</v>
      </c>
      <c r="G528" s="78">
        <v>1.4</v>
      </c>
      <c r="H528" s="78">
        <v>1.32</v>
      </c>
      <c r="I528" s="79">
        <v>2.7</v>
      </c>
      <c r="J528" s="139">
        <v>1.96</v>
      </c>
      <c r="K528" s="139">
        <v>3.253333333333333</v>
      </c>
      <c r="L528" s="79">
        <f>1.2371/0.45436</f>
        <v>2.7227308741966727</v>
      </c>
      <c r="M528" s="79">
        <f>3.05*0.55</f>
        <v>1.6775</v>
      </c>
      <c r="N528" s="79">
        <f>2.85*0.5</f>
        <v>1.425</v>
      </c>
      <c r="O528" s="79">
        <f>4.94*0.7193</f>
        <v>3.5533420000000007</v>
      </c>
      <c r="P528" s="79">
        <f>5.02*0.7193</f>
        <v>3.6108859999999998</v>
      </c>
      <c r="Q528" s="118">
        <f>5.075*0.6762</f>
        <v>3.4317150000000001</v>
      </c>
    </row>
    <row r="529" spans="1:17" ht="24" customHeight="1" x14ac:dyDescent="0.2">
      <c r="A529" s="117" t="s">
        <v>560</v>
      </c>
      <c r="B529" s="78">
        <v>1.47</v>
      </c>
      <c r="C529" s="79">
        <v>0.91</v>
      </c>
      <c r="D529" s="78" t="s">
        <v>35</v>
      </c>
      <c r="E529" s="79">
        <f>3.13*0.55</f>
        <v>1.7215</v>
      </c>
      <c r="F529" s="78">
        <v>1.54</v>
      </c>
      <c r="G529" s="78">
        <v>1.39</v>
      </c>
      <c r="H529" s="78">
        <v>1.3</v>
      </c>
      <c r="I529" s="79">
        <v>2.73</v>
      </c>
      <c r="J529" s="139">
        <v>1.949602122015915</v>
      </c>
      <c r="K529" s="139">
        <v>3.2360742705570291</v>
      </c>
      <c r="L529" s="79">
        <f>1.2398/0.45436</f>
        <v>2.7286732987058722</v>
      </c>
      <c r="M529" s="79">
        <f>3*0.55</f>
        <v>1.6500000000000001</v>
      </c>
      <c r="N529" s="79">
        <f>2.75*0.5</f>
        <v>1.375</v>
      </c>
      <c r="O529" s="79">
        <f>4.62*0.7085</f>
        <v>3.2732700000000001</v>
      </c>
      <c r="P529" s="79">
        <f>4.63*0.7085</f>
        <v>3.2803550000000001</v>
      </c>
      <c r="Q529" s="118">
        <f>5.075*0.6764</f>
        <v>3.4327300000000003</v>
      </c>
    </row>
    <row r="530" spans="1:17" ht="22.5" customHeight="1" x14ac:dyDescent="0.2">
      <c r="A530" s="117" t="s">
        <v>561</v>
      </c>
      <c r="B530" s="78">
        <v>1.51</v>
      </c>
      <c r="C530" s="79">
        <v>0.92</v>
      </c>
      <c r="D530" s="78" t="s">
        <v>35</v>
      </c>
      <c r="E530" s="79">
        <f>3.13*0.55</f>
        <v>1.7215</v>
      </c>
      <c r="F530" s="78">
        <v>1.55</v>
      </c>
      <c r="G530" s="78">
        <v>1.43</v>
      </c>
      <c r="H530" s="78">
        <v>1.32</v>
      </c>
      <c r="I530" s="79">
        <v>2.74</v>
      </c>
      <c r="J530" s="139">
        <v>2.0218579234972678</v>
      </c>
      <c r="K530" s="139">
        <v>3.4562841530054644</v>
      </c>
      <c r="L530" s="79">
        <f>1.2329/0.45436</f>
        <v>2.7134871027379175</v>
      </c>
      <c r="M530" s="79">
        <f>2.95*0.55</f>
        <v>1.6225000000000003</v>
      </c>
      <c r="N530" s="79">
        <f>2.7*0.5</f>
        <v>1.35</v>
      </c>
      <c r="O530" s="79">
        <f>4.77*0.7274</f>
        <v>3.4696979999999997</v>
      </c>
      <c r="P530" s="79">
        <f>4.81*0.7274</f>
        <v>3.4987939999999997</v>
      </c>
      <c r="Q530" s="118">
        <f>5.05833*0.6916</f>
        <v>3.498341028</v>
      </c>
    </row>
    <row r="531" spans="1:17" ht="22.5" customHeight="1" x14ac:dyDescent="0.2">
      <c r="A531" s="117" t="s">
        <v>562</v>
      </c>
      <c r="B531" s="78">
        <v>1.55</v>
      </c>
      <c r="C531" s="79">
        <v>0.92912181303116159</v>
      </c>
      <c r="D531" s="78" t="s">
        <v>35</v>
      </c>
      <c r="E531" s="79">
        <f>3.13*0.55</f>
        <v>1.7215</v>
      </c>
      <c r="F531" s="78">
        <v>1.58</v>
      </c>
      <c r="G531" s="78">
        <v>1.41</v>
      </c>
      <c r="H531" s="78">
        <v>1.33</v>
      </c>
      <c r="I531" s="79">
        <v>2.71</v>
      </c>
      <c r="J531" s="139">
        <v>2.0187165775401068</v>
      </c>
      <c r="K531" s="139">
        <v>3.475935828877005</v>
      </c>
      <c r="L531" s="79">
        <f>1.2387/0.45436</f>
        <v>2.7262523109428645</v>
      </c>
      <c r="M531" s="79">
        <f>2.95*0.55</f>
        <v>1.6225000000000003</v>
      </c>
      <c r="N531" s="79">
        <f>2.75*0.5</f>
        <v>1.375</v>
      </c>
      <c r="O531" s="79">
        <f>4.85*0.71</f>
        <v>3.4434999999999998</v>
      </c>
      <c r="P531" s="79">
        <f>4.86*0.71</f>
        <v>3.4506000000000001</v>
      </c>
      <c r="Q531" s="118">
        <f>5.0417*0.6754</f>
        <v>3.4051641799999999</v>
      </c>
    </row>
    <row r="532" spans="1:17" ht="24" customHeight="1" x14ac:dyDescent="0.2">
      <c r="A532" s="117" t="s">
        <v>563</v>
      </c>
      <c r="B532" s="78">
        <v>1.65</v>
      </c>
      <c r="C532" s="79">
        <v>0.91</v>
      </c>
      <c r="D532" s="78" t="s">
        <v>35</v>
      </c>
      <c r="E532" s="79">
        <f>3.13*0.55</f>
        <v>1.7215</v>
      </c>
      <c r="F532" s="78">
        <v>1.58</v>
      </c>
      <c r="G532" s="79">
        <v>1.4</v>
      </c>
      <c r="H532" s="78">
        <v>1.32</v>
      </c>
      <c r="I532" s="79">
        <v>2.73</v>
      </c>
      <c r="J532" s="139">
        <v>2.0889487870619945</v>
      </c>
      <c r="K532" s="139">
        <v>3.463611859838275</v>
      </c>
      <c r="L532" s="79">
        <f>1.2498/0.45436</f>
        <v>2.7506822783695748</v>
      </c>
      <c r="M532" s="79">
        <f>2.95*0.55</f>
        <v>1.6225000000000003</v>
      </c>
      <c r="N532" s="79">
        <f>2.7*0.5</f>
        <v>1.35</v>
      </c>
      <c r="O532" s="79">
        <f>4.79*0.7084</f>
        <v>3.3932360000000004</v>
      </c>
      <c r="P532" s="79">
        <f>4.88*0.7084</f>
        <v>3.4569920000000001</v>
      </c>
      <c r="Q532" s="118">
        <f>4.97*0.6826</f>
        <v>3.3925219999999996</v>
      </c>
    </row>
    <row r="533" spans="1:17" ht="24" customHeight="1" x14ac:dyDescent="0.2">
      <c r="A533" s="117" t="s">
        <v>564</v>
      </c>
      <c r="B533" s="78">
        <v>1.63</v>
      </c>
      <c r="C533" s="79">
        <v>0.88</v>
      </c>
      <c r="D533" s="78" t="s">
        <v>35</v>
      </c>
      <c r="E533" s="79">
        <f>3.13*0.55</f>
        <v>1.7215</v>
      </c>
      <c r="F533" s="78">
        <v>1.58</v>
      </c>
      <c r="G533" s="79">
        <v>1.4</v>
      </c>
      <c r="H533" s="78">
        <v>1.35</v>
      </c>
      <c r="I533" s="79">
        <v>2.72</v>
      </c>
      <c r="J533" s="139">
        <v>2.1256684491978608</v>
      </c>
      <c r="K533" s="139">
        <v>3.3957219251336896</v>
      </c>
      <c r="L533" s="79">
        <f>1.2496/0.45436</f>
        <v>2.750242098776301</v>
      </c>
      <c r="M533" s="79">
        <f>2.9*0.55</f>
        <v>1.595</v>
      </c>
      <c r="N533" s="79">
        <f>2.7*0.5</f>
        <v>1.35</v>
      </c>
      <c r="O533" s="79">
        <f>4.73*0.7084</f>
        <v>3.3507320000000003</v>
      </c>
      <c r="P533" s="79">
        <f>4.9*0.7084</f>
        <v>3.4711600000000002</v>
      </c>
      <c r="Q533" s="118">
        <f>4.88*0.6803</f>
        <v>3.3198639999999999</v>
      </c>
    </row>
    <row r="534" spans="1:17" ht="22.5" customHeight="1" x14ac:dyDescent="0.2">
      <c r="A534" s="117" t="s">
        <v>565</v>
      </c>
      <c r="B534" s="78">
        <v>1.75</v>
      </c>
      <c r="C534" s="79">
        <v>0.85884823848238478</v>
      </c>
      <c r="D534" s="78" t="s">
        <v>35</v>
      </c>
      <c r="E534" s="79">
        <f>3.15*0.55</f>
        <v>1.7325000000000002</v>
      </c>
      <c r="F534" s="79">
        <v>1.59</v>
      </c>
      <c r="G534" s="79">
        <v>1.36</v>
      </c>
      <c r="H534" s="78">
        <v>1.31</v>
      </c>
      <c r="I534" s="79">
        <v>2.67</v>
      </c>
      <c r="J534" s="139">
        <v>2.0899470899470902</v>
      </c>
      <c r="K534" s="139">
        <v>3.306878306878307</v>
      </c>
      <c r="L534" s="79">
        <f>1.2636/0.45436</f>
        <v>2.781054670305485</v>
      </c>
      <c r="M534" s="79">
        <f>2.85*0.55</f>
        <v>1.5675000000000001</v>
      </c>
      <c r="N534" s="79">
        <f>2.65*0.5</f>
        <v>1.325</v>
      </c>
      <c r="O534" s="79">
        <f>4.76*0.7109</f>
        <v>3.3838839999999997</v>
      </c>
      <c r="P534" s="79">
        <f>5*0.7109</f>
        <v>3.5545</v>
      </c>
      <c r="Q534" s="118">
        <f>4.825*0.6811</f>
        <v>3.2863075000000004</v>
      </c>
    </row>
    <row r="535" spans="1:17" ht="25.5" customHeight="1" x14ac:dyDescent="0.2">
      <c r="A535" s="117" t="s">
        <v>566</v>
      </c>
      <c r="B535" s="79">
        <v>1.7</v>
      </c>
      <c r="C535" s="79">
        <v>0.79898195876288669</v>
      </c>
      <c r="D535" s="78" t="s">
        <v>35</v>
      </c>
      <c r="E535" s="79">
        <f>3.15*0.55</f>
        <v>1.7325000000000002</v>
      </c>
      <c r="F535" s="79">
        <v>1.6</v>
      </c>
      <c r="G535" s="79">
        <v>1.35</v>
      </c>
      <c r="H535" s="79">
        <v>1.3</v>
      </c>
      <c r="I535" s="79">
        <v>2.61</v>
      </c>
      <c r="J535" s="139">
        <v>2.1262886597938144</v>
      </c>
      <c r="K535" s="139">
        <v>3.195876288659794</v>
      </c>
      <c r="L535" s="79">
        <f>1.2822/0.45436</f>
        <v>2.8219913724799719</v>
      </c>
      <c r="M535" s="79">
        <f>2.85*0.55</f>
        <v>1.5675000000000001</v>
      </c>
      <c r="N535" s="79">
        <f>2.7*0.5</f>
        <v>1.35</v>
      </c>
      <c r="O535" s="79">
        <f>4.74*0.7032</f>
        <v>3.3331680000000006</v>
      </c>
      <c r="P535" s="79">
        <f>4.79*0.7032</f>
        <v>3.3683280000000004</v>
      </c>
      <c r="Q535" s="118">
        <f>4.825*0.6773</f>
        <v>3.2679725000000004</v>
      </c>
    </row>
    <row r="536" spans="1:17" ht="22.5" customHeight="1" x14ac:dyDescent="0.2">
      <c r="A536" s="117" t="s">
        <v>567</v>
      </c>
      <c r="B536" s="79">
        <v>1.72</v>
      </c>
      <c r="C536" s="79">
        <v>0.81599999999999995</v>
      </c>
      <c r="D536" s="78" t="s">
        <v>35</v>
      </c>
      <c r="E536" s="79">
        <f>3.23*0.55</f>
        <v>1.7765000000000002</v>
      </c>
      <c r="F536" s="79">
        <v>1.63</v>
      </c>
      <c r="G536" s="79">
        <v>1.34</v>
      </c>
      <c r="H536" s="79">
        <v>1.27</v>
      </c>
      <c r="I536" s="79">
        <v>2.67</v>
      </c>
      <c r="J536" s="139">
        <v>2.2251308900523563</v>
      </c>
      <c r="K536" s="139">
        <v>3.2460732984293195</v>
      </c>
      <c r="L536" s="79">
        <f>1.2815/0.45436</f>
        <v>2.8204507439035127</v>
      </c>
      <c r="M536" s="79">
        <f>2.8*0.55</f>
        <v>1.54</v>
      </c>
      <c r="N536" s="79">
        <f>2.65*0.5</f>
        <v>1.325</v>
      </c>
      <c r="O536" s="79">
        <f>4.33*0.7063</f>
        <v>3.0582790000000002</v>
      </c>
      <c r="P536" s="79">
        <f>4.53*0.7063</f>
        <v>3.1995390000000001</v>
      </c>
      <c r="Q536" s="118">
        <f>4.825*0.682</f>
        <v>3.2906500000000003</v>
      </c>
    </row>
    <row r="537" spans="1:17" ht="25.5" customHeight="1" x14ac:dyDescent="0.2">
      <c r="A537" s="117" t="s">
        <v>568</v>
      </c>
      <c r="B537" s="79">
        <v>1.67</v>
      </c>
      <c r="C537" s="79">
        <v>0.78</v>
      </c>
      <c r="D537" s="78" t="s">
        <v>35</v>
      </c>
      <c r="E537" s="79">
        <f>3.3*0.55</f>
        <v>1.8149999999999999</v>
      </c>
      <c r="F537" s="79">
        <v>1.69</v>
      </c>
      <c r="G537" s="79">
        <v>1.36</v>
      </c>
      <c r="H537" s="79">
        <v>1.32</v>
      </c>
      <c r="I537" s="79">
        <v>2.62</v>
      </c>
      <c r="J537" s="139">
        <v>2.2441651705565531</v>
      </c>
      <c r="K537" s="139">
        <v>3.1290074378045651</v>
      </c>
      <c r="L537" s="79">
        <f>1.2714/0.45436</f>
        <v>2.7982216744431732</v>
      </c>
      <c r="M537" s="79">
        <f>2.85*0.55</f>
        <v>1.5675000000000001</v>
      </c>
      <c r="N537" s="79">
        <f>2.6*0.5</f>
        <v>1.3</v>
      </c>
      <c r="O537" s="79">
        <f>4.8*0.7114</f>
        <v>3.41472</v>
      </c>
      <c r="P537" s="79">
        <f>4.93*0.7114</f>
        <v>3.5072019999999999</v>
      </c>
      <c r="Q537" s="118">
        <f>4.825*0.6883</f>
        <v>3.3210475000000002</v>
      </c>
    </row>
    <row r="538" spans="1:17" ht="27.75" customHeight="1" x14ac:dyDescent="0.2">
      <c r="A538" s="117" t="s">
        <v>569</v>
      </c>
      <c r="B538" s="79">
        <v>1.59</v>
      </c>
      <c r="C538" s="79">
        <v>0.75</v>
      </c>
      <c r="D538" s="78" t="s">
        <v>35</v>
      </c>
      <c r="E538" s="79">
        <f>3.3*0.55</f>
        <v>1.8149999999999999</v>
      </c>
      <c r="F538" s="79">
        <v>1.69</v>
      </c>
      <c r="G538" s="79">
        <v>1.32</v>
      </c>
      <c r="H538" s="79">
        <v>1.28</v>
      </c>
      <c r="I538" s="79">
        <v>2.6837606837606836</v>
      </c>
      <c r="J538" s="139">
        <v>2.2435897435897436</v>
      </c>
      <c r="K538" s="139">
        <v>3</v>
      </c>
      <c r="L538" s="79">
        <f>1.2896/0.45436</f>
        <v>2.838278017431112</v>
      </c>
      <c r="M538" s="79">
        <f>2.85*0.55</f>
        <v>1.5675000000000001</v>
      </c>
      <c r="N538" s="79">
        <f>2.6*0.5</f>
        <v>1.3</v>
      </c>
      <c r="O538" s="79">
        <f>4.96*0.7114</f>
        <v>3.5285440000000001</v>
      </c>
      <c r="P538" s="79">
        <f>5.01*0.7114</f>
        <v>3.564114</v>
      </c>
      <c r="Q538" s="118">
        <f>4.85*0.6791</f>
        <v>3.2936350000000001</v>
      </c>
    </row>
    <row r="539" spans="1:17" ht="24.75" customHeight="1" x14ac:dyDescent="0.2">
      <c r="A539" s="117" t="s">
        <v>570</v>
      </c>
      <c r="B539" s="79">
        <v>1.58</v>
      </c>
      <c r="C539" s="79">
        <v>0.74</v>
      </c>
      <c r="D539" s="78" t="s">
        <v>35</v>
      </c>
      <c r="E539" s="79">
        <f>3.3*0.55</f>
        <v>1.8149999999999999</v>
      </c>
      <c r="F539" s="79">
        <v>1.69</v>
      </c>
      <c r="G539" s="79">
        <v>1.32</v>
      </c>
      <c r="H539" s="79">
        <v>1.28</v>
      </c>
      <c r="I539" s="79">
        <v>2.73</v>
      </c>
      <c r="J539" s="139">
        <v>2.266839378238342</v>
      </c>
      <c r="K539" s="139">
        <v>3.0310880829015545</v>
      </c>
      <c r="L539" s="79">
        <f>1.2634/0.45436</f>
        <v>2.7806144907122108</v>
      </c>
      <c r="M539" s="79">
        <f>2.85*0.55</f>
        <v>1.5675000000000001</v>
      </c>
      <c r="N539" s="79">
        <f>2.6*0.5</f>
        <v>1.3</v>
      </c>
      <c r="O539" s="79">
        <f>5.23*0.7117</f>
        <v>3.7221910000000005</v>
      </c>
      <c r="P539" s="79">
        <f>5.23*0.7117</f>
        <v>3.7221910000000005</v>
      </c>
      <c r="Q539" s="118">
        <f>4.88*0.6725</f>
        <v>3.2818000000000001</v>
      </c>
    </row>
    <row r="540" spans="1:17" ht="25.5" customHeight="1" x14ac:dyDescent="0.2">
      <c r="A540" s="117" t="s">
        <v>572</v>
      </c>
      <c r="B540" s="79">
        <v>1.62</v>
      </c>
      <c r="C540" s="79">
        <v>0.75</v>
      </c>
      <c r="D540" s="78" t="s">
        <v>35</v>
      </c>
      <c r="E540" s="79">
        <f>3.29*0.55</f>
        <v>1.8095000000000001</v>
      </c>
      <c r="F540" s="79">
        <v>1.68</v>
      </c>
      <c r="G540" s="79">
        <v>1.33</v>
      </c>
      <c r="H540" s="79">
        <v>1.3</v>
      </c>
      <c r="I540" s="79">
        <v>2.74</v>
      </c>
      <c r="J540" s="139">
        <v>2.3612903225806452</v>
      </c>
      <c r="K540" s="139">
        <v>3.1096774193548389</v>
      </c>
      <c r="L540" s="79">
        <f>1.253/0.45436</f>
        <v>2.7577251518619597</v>
      </c>
      <c r="M540" s="79">
        <f>2.85*0.55</f>
        <v>1.5675000000000001</v>
      </c>
      <c r="N540" s="79">
        <f>2.6*0.5</f>
        <v>1.3</v>
      </c>
      <c r="O540" s="79">
        <f>5.12*0.7124</f>
        <v>3.6474880000000001</v>
      </c>
      <c r="P540" s="79">
        <f>5.23*0.7124</f>
        <v>3.7258520000000006</v>
      </c>
      <c r="Q540" s="118">
        <f>4.97*0.6727</f>
        <v>3.3433189999999997</v>
      </c>
    </row>
    <row r="541" spans="1:17" ht="25.5" customHeight="1" x14ac:dyDescent="0.2">
      <c r="A541" s="117" t="s">
        <v>571</v>
      </c>
      <c r="B541" s="79">
        <v>1.57</v>
      </c>
      <c r="C541" s="79">
        <v>0.74</v>
      </c>
      <c r="D541" s="78" t="s">
        <v>35</v>
      </c>
      <c r="E541" s="79">
        <f>3.27*0.55</f>
        <v>1.7985000000000002</v>
      </c>
      <c r="F541" s="79">
        <v>1.64</v>
      </c>
      <c r="G541" s="79">
        <v>1.3</v>
      </c>
      <c r="H541" s="79">
        <v>1.28</v>
      </c>
      <c r="I541" s="79">
        <v>2.66</v>
      </c>
      <c r="J541" s="139">
        <v>2.39</v>
      </c>
      <c r="K541" s="139">
        <v>3</v>
      </c>
      <c r="L541" s="79">
        <f>1.2842/0.45436</f>
        <v>2.8263931684127126</v>
      </c>
      <c r="M541" s="79">
        <f>2.8*0.55</f>
        <v>1.54</v>
      </c>
      <c r="N541" s="79">
        <f>2.55*0.5</f>
        <v>1.2749999999999999</v>
      </c>
      <c r="O541" s="79">
        <f>4.96*0.7015</f>
        <v>3.4794399999999999</v>
      </c>
      <c r="P541" s="79">
        <f>5.24*0.7015</f>
        <v>3.6758600000000001</v>
      </c>
      <c r="Q541" s="118">
        <f>4.94*0.6623</f>
        <v>3.2717620000000003</v>
      </c>
    </row>
    <row r="542" spans="1:17" ht="24.75" customHeight="1" x14ac:dyDescent="0.2">
      <c r="A542" s="117" t="s">
        <v>573</v>
      </c>
      <c r="B542" s="79">
        <v>1.59</v>
      </c>
      <c r="C542" s="79">
        <v>0.78</v>
      </c>
      <c r="D542" s="78" t="s">
        <v>35</v>
      </c>
      <c r="E542" s="79">
        <f>3.37*0.55</f>
        <v>1.8535000000000001</v>
      </c>
      <c r="F542" s="79">
        <v>1.67</v>
      </c>
      <c r="G542" s="79">
        <v>1.35</v>
      </c>
      <c r="H542" s="79">
        <v>1.3</v>
      </c>
      <c r="I542" s="79">
        <v>2.62</v>
      </c>
      <c r="J542" s="139">
        <v>2.25</v>
      </c>
      <c r="K542" s="139">
        <v>2.85</v>
      </c>
      <c r="L542" s="79">
        <f>1.2669/0.45436</f>
        <v>2.7883176335945064</v>
      </c>
      <c r="M542" s="79">
        <f>2.8*0.55</f>
        <v>1.54</v>
      </c>
      <c r="N542" s="79">
        <f>2.55*0.5</f>
        <v>1.2749999999999999</v>
      </c>
      <c r="O542" s="79">
        <f>5.09*0.6998</f>
        <v>3.561982</v>
      </c>
      <c r="P542" s="79">
        <f>5.41*0.6998</f>
        <v>3.7859180000000001</v>
      </c>
      <c r="Q542" s="118">
        <f>4.94*0.6621</f>
        <v>3.2707740000000003</v>
      </c>
    </row>
    <row r="543" spans="1:17" ht="24.75" customHeight="1" x14ac:dyDescent="0.2">
      <c r="A543" s="117" t="s">
        <v>574</v>
      </c>
      <c r="B543" s="79">
        <v>1.6</v>
      </c>
      <c r="C543" s="79">
        <v>0.76</v>
      </c>
      <c r="D543" s="78" t="s">
        <v>35</v>
      </c>
      <c r="E543" s="79">
        <f>3.37*0.55</f>
        <v>1.8535000000000001</v>
      </c>
      <c r="F543" s="79">
        <v>1.7</v>
      </c>
      <c r="G543" s="79">
        <v>1.33</v>
      </c>
      <c r="H543" s="79">
        <v>1.28</v>
      </c>
      <c r="I543" s="79">
        <v>2.62</v>
      </c>
      <c r="J543" s="139">
        <v>2.2278481012658227</v>
      </c>
      <c r="K543" s="139">
        <v>2.9493670886075951</v>
      </c>
      <c r="L543" s="79">
        <f>1.2376/0.45436</f>
        <v>2.7238313231798577</v>
      </c>
      <c r="M543" s="79">
        <f>2.8*0.55</f>
        <v>1.54</v>
      </c>
      <c r="N543" s="79">
        <f>2.55*0.5</f>
        <v>1.2749999999999999</v>
      </c>
      <c r="O543" s="79">
        <f>5.24*0.6987</f>
        <v>3.6611880000000001</v>
      </c>
      <c r="P543" s="79">
        <f>5.28*0.6987</f>
        <v>3.689136</v>
      </c>
      <c r="Q543" s="118">
        <f>4.96*0.6588</f>
        <v>3.2676480000000003</v>
      </c>
    </row>
    <row r="544" spans="1:17" ht="24" customHeight="1" x14ac:dyDescent="0.2">
      <c r="A544" s="117" t="s">
        <v>575</v>
      </c>
      <c r="B544" s="79">
        <v>1.6</v>
      </c>
      <c r="C544" s="79">
        <v>0.73</v>
      </c>
      <c r="D544" s="78" t="s">
        <v>35</v>
      </c>
      <c r="E544" s="79">
        <f>3.41*0.55</f>
        <v>1.8755000000000002</v>
      </c>
      <c r="F544" s="79">
        <v>1.7</v>
      </c>
      <c r="G544" s="79">
        <v>1.33</v>
      </c>
      <c r="H544" s="79">
        <v>1.28</v>
      </c>
      <c r="I544" s="79">
        <v>2.5</v>
      </c>
      <c r="J544" s="139">
        <v>2.14</v>
      </c>
      <c r="K544" s="139">
        <v>2.77</v>
      </c>
      <c r="L544" s="79">
        <f>1.2034/0.45436</f>
        <v>2.6485606127299941</v>
      </c>
      <c r="M544" s="79">
        <f>2.8*0.55</f>
        <v>1.54</v>
      </c>
      <c r="N544" s="79">
        <f>2.55*0.5</f>
        <v>1.2749999999999999</v>
      </c>
      <c r="O544" s="79">
        <f>5.2*0.6899</f>
        <v>3.5874799999999998</v>
      </c>
      <c r="P544" s="79">
        <f>5.28*0.6899</f>
        <v>3.6426720000000001</v>
      </c>
      <c r="Q544" s="118">
        <f>4.96*0.6562</f>
        <v>3.2547519999999999</v>
      </c>
    </row>
    <row r="545" spans="1:17" ht="23.25" customHeight="1" x14ac:dyDescent="0.2">
      <c r="A545" s="117" t="s">
        <v>576</v>
      </c>
      <c r="B545" s="79">
        <v>1.61</v>
      </c>
      <c r="C545" s="79">
        <v>0.73</v>
      </c>
      <c r="D545" s="78" t="s">
        <v>35</v>
      </c>
      <c r="E545" s="79">
        <f>3.6*0.55</f>
        <v>1.9800000000000002</v>
      </c>
      <c r="F545" s="79">
        <v>1.73</v>
      </c>
      <c r="G545" s="79">
        <v>1.3</v>
      </c>
      <c r="H545" s="79">
        <v>1.27</v>
      </c>
      <c r="I545" s="79">
        <v>2.5099999999999998</v>
      </c>
      <c r="J545" s="139">
        <v>2.1945137157107233</v>
      </c>
      <c r="K545" s="139">
        <v>2.8428927680798006</v>
      </c>
      <c r="L545" s="79">
        <f>1.1665/0.45436</f>
        <v>2.5673474777709306</v>
      </c>
      <c r="M545" s="79">
        <f>2.82*0.55</f>
        <v>1.5509999999999999</v>
      </c>
      <c r="N545" s="79">
        <f>2.6*0.5</f>
        <v>1.3</v>
      </c>
      <c r="O545" s="79">
        <f>5.2*0.6893</f>
        <v>3.5843600000000002</v>
      </c>
      <c r="P545" s="79">
        <f>5.14*0.6893</f>
        <v>3.543002</v>
      </c>
      <c r="Q545" s="118">
        <f>4.96*0.6518</f>
        <v>3.2329280000000002</v>
      </c>
    </row>
    <row r="546" spans="1:17" ht="26.25" customHeight="1" x14ac:dyDescent="0.2">
      <c r="A546" s="117" t="s">
        <v>577</v>
      </c>
      <c r="B546" s="79">
        <v>1.63</v>
      </c>
      <c r="C546" s="79">
        <v>0.73</v>
      </c>
      <c r="D546" s="78" t="s">
        <v>35</v>
      </c>
      <c r="E546" s="79">
        <f>3.71*0.55</f>
        <v>2.0405000000000002</v>
      </c>
      <c r="F546" s="79">
        <v>1.76</v>
      </c>
      <c r="G546" s="79">
        <v>1.32</v>
      </c>
      <c r="H546" s="79">
        <v>1.28</v>
      </c>
      <c r="I546" s="79">
        <v>2.6</v>
      </c>
      <c r="J546" s="139">
        <v>2.2000000000000002</v>
      </c>
      <c r="K546" s="139">
        <v>2.9</v>
      </c>
      <c r="L546" s="79">
        <f>1.1578/0.45436</f>
        <v>2.5481996654635091</v>
      </c>
      <c r="M546" s="79">
        <f>2.82*0.55</f>
        <v>1.5509999999999999</v>
      </c>
      <c r="N546" s="79">
        <f>2.6*0.5</f>
        <v>1.3</v>
      </c>
      <c r="O546" s="79">
        <f>5.09*0.6912</f>
        <v>3.518208</v>
      </c>
      <c r="P546" s="79">
        <f>5.24*0.6912</f>
        <v>3.6218880000000002</v>
      </c>
      <c r="Q546" s="118">
        <f>5*0.6511</f>
        <v>3.2555000000000001</v>
      </c>
    </row>
    <row r="547" spans="1:17" ht="24" customHeight="1" x14ac:dyDescent="0.2">
      <c r="A547" s="117" t="s">
        <v>578</v>
      </c>
      <c r="B547" s="79">
        <v>1.63</v>
      </c>
      <c r="C547" s="79">
        <v>0.73</v>
      </c>
      <c r="D547" s="78" t="s">
        <v>35</v>
      </c>
      <c r="E547" s="79">
        <f>3.77*0.55</f>
        <v>2.0735000000000001</v>
      </c>
      <c r="F547" s="79">
        <v>1.8</v>
      </c>
      <c r="G547" s="79">
        <v>1.39</v>
      </c>
      <c r="H547" s="79">
        <v>1.35</v>
      </c>
      <c r="I547" s="79">
        <v>2.4900000000000002</v>
      </c>
      <c r="J547" s="139">
        <v>2.1649484536082477</v>
      </c>
      <c r="K547" s="139">
        <v>2.963917525773196</v>
      </c>
      <c r="L547" s="79">
        <f>1.1574/0.45436</f>
        <v>2.547319306276961</v>
      </c>
      <c r="M547" s="79">
        <f>2.8*0.55</f>
        <v>1.54</v>
      </c>
      <c r="N547" s="79">
        <f>2.65*0.5</f>
        <v>1.325</v>
      </c>
      <c r="O547" s="79">
        <f>5*0.7004</f>
        <v>3.5020000000000002</v>
      </c>
      <c r="P547" s="79">
        <f>5.35*0.7004</f>
        <v>3.7471399999999999</v>
      </c>
      <c r="Q547" s="118">
        <f>5*0.6666</f>
        <v>3.3329999999999997</v>
      </c>
    </row>
    <row r="548" spans="1:17" ht="25.5" customHeight="1" x14ac:dyDescent="0.2">
      <c r="A548" s="117" t="s">
        <v>580</v>
      </c>
      <c r="B548" s="79">
        <v>1.67</v>
      </c>
      <c r="C548" s="79">
        <v>0.73199999999999998</v>
      </c>
      <c r="D548" s="78" t="s">
        <v>35</v>
      </c>
      <c r="E548" s="79">
        <f>3.86*0.55</f>
        <v>2.1230000000000002</v>
      </c>
      <c r="F548" s="79">
        <v>1.81</v>
      </c>
      <c r="G548" s="79">
        <v>1.39</v>
      </c>
      <c r="H548" s="79">
        <v>1.35</v>
      </c>
      <c r="I548" s="79">
        <v>2.5299999999999998</v>
      </c>
      <c r="J548" s="139">
        <v>2.2820512820512824</v>
      </c>
      <c r="K548" s="139">
        <v>2.9358974358974357</v>
      </c>
      <c r="L548" s="79">
        <f>1.1376/0.45436</f>
        <v>2.5037415265428296</v>
      </c>
      <c r="M548" s="79">
        <f>2.8*0.55</f>
        <v>1.54</v>
      </c>
      <c r="N548" s="79">
        <f>2.65*0.5</f>
        <v>1.325</v>
      </c>
      <c r="O548" s="79">
        <f>5.16*0.6914</f>
        <v>3.5676240000000004</v>
      </c>
      <c r="P548" s="79">
        <f>5.33*0.6914</f>
        <v>3.685162</v>
      </c>
      <c r="Q548" s="118">
        <f>5*0.6565</f>
        <v>3.2824999999999998</v>
      </c>
    </row>
    <row r="549" spans="1:17" ht="24.75" customHeight="1" x14ac:dyDescent="0.2">
      <c r="A549" s="117" t="s">
        <v>579</v>
      </c>
      <c r="B549" s="79">
        <v>1.7</v>
      </c>
      <c r="C549" s="79">
        <v>0.83</v>
      </c>
      <c r="D549" s="78" t="s">
        <v>35</v>
      </c>
      <c r="E549" s="79">
        <f>3.95*0.55</f>
        <v>2.1725000000000003</v>
      </c>
      <c r="F549" s="79">
        <v>1.88</v>
      </c>
      <c r="G549" s="79">
        <v>1.4</v>
      </c>
      <c r="H549" s="79">
        <v>1.35</v>
      </c>
      <c r="I549" s="79">
        <v>2.68</v>
      </c>
      <c r="J549" s="139">
        <v>2.36</v>
      </c>
      <c r="K549" s="139">
        <v>3.05</v>
      </c>
      <c r="L549" s="79">
        <f>1.1362/0.45436</f>
        <v>2.5006602693899116</v>
      </c>
      <c r="M549" s="79">
        <f>2.8*0.55</f>
        <v>1.54</v>
      </c>
      <c r="N549" s="79">
        <f>2.58*0.5</f>
        <v>1.29</v>
      </c>
      <c r="O549" s="79">
        <f>5.14*0.6928</f>
        <v>3.5609919999999997</v>
      </c>
      <c r="P549" s="79">
        <f>5.25*0.6928</f>
        <v>3.6372</v>
      </c>
      <c r="Q549" s="118">
        <f>5.09*0.659</f>
        <v>3.3543099999999999</v>
      </c>
    </row>
    <row r="550" spans="1:17" ht="25.5" customHeight="1" x14ac:dyDescent="0.2">
      <c r="A550" s="117" t="s">
        <v>581</v>
      </c>
      <c r="B550" s="79">
        <v>1.71</v>
      </c>
      <c r="C550" s="79">
        <v>0.84</v>
      </c>
      <c r="D550" s="78" t="s">
        <v>35</v>
      </c>
      <c r="E550" s="79">
        <f>3.98*0.55</f>
        <v>2.1890000000000001</v>
      </c>
      <c r="F550" s="79">
        <v>1.9</v>
      </c>
      <c r="G550" s="79">
        <v>1.41</v>
      </c>
      <c r="H550" s="79">
        <v>1.36</v>
      </c>
      <c r="I550" s="79">
        <v>2.69</v>
      </c>
      <c r="J550" s="139">
        <v>2.36</v>
      </c>
      <c r="K550" s="139">
        <v>3.06</v>
      </c>
      <c r="L550" s="79">
        <f>1.1048/0.45436</f>
        <v>2.4315520732458844</v>
      </c>
      <c r="M550" s="79">
        <f>2.75*0.55</f>
        <v>1.5125000000000002</v>
      </c>
      <c r="N550" s="79">
        <f>2.55*0.5</f>
        <v>1.2749999999999999</v>
      </c>
      <c r="O550" s="79">
        <f>5.3*0.6997</f>
        <v>3.7084099999999998</v>
      </c>
      <c r="P550" s="79">
        <f>5.54*0.6997</f>
        <v>3.8763380000000001</v>
      </c>
      <c r="Q550" s="118">
        <f>5.11*0.6698</f>
        <v>3.4226779999999999</v>
      </c>
    </row>
    <row r="551" spans="1:17" ht="25.5" customHeight="1" x14ac:dyDescent="0.2">
      <c r="A551" s="117" t="s">
        <v>582</v>
      </c>
      <c r="B551" s="79">
        <v>1.73</v>
      </c>
      <c r="C551" s="79">
        <v>0.86</v>
      </c>
      <c r="D551" s="78" t="s">
        <v>35</v>
      </c>
      <c r="E551" s="79">
        <f>3.98*0.55</f>
        <v>2.1890000000000001</v>
      </c>
      <c r="F551" s="79">
        <v>1.92</v>
      </c>
      <c r="G551" s="79">
        <v>1.4</v>
      </c>
      <c r="H551" s="79">
        <v>1.34</v>
      </c>
      <c r="I551" s="79">
        <v>2.71</v>
      </c>
      <c r="J551" s="139">
        <v>2.3429319371727746</v>
      </c>
      <c r="K551" s="139">
        <v>3.0628272251308899</v>
      </c>
      <c r="L551" s="79">
        <f>1.1013/0.45436</f>
        <v>2.4238489303635884</v>
      </c>
      <c r="M551" s="79">
        <f>2.7*0.55</f>
        <v>1.4850000000000003</v>
      </c>
      <c r="N551" s="79">
        <f>2.5*0.5</f>
        <v>1.25</v>
      </c>
      <c r="O551" s="79">
        <f>4.98*0.7019</f>
        <v>3.4954620000000003</v>
      </c>
      <c r="P551" s="79">
        <f>5.39*0.7019</f>
        <v>3.7832409999999994</v>
      </c>
      <c r="Q551" s="118">
        <f>5.24*0.6686</f>
        <v>3.5034640000000001</v>
      </c>
    </row>
    <row r="552" spans="1:17" ht="24" customHeight="1" x14ac:dyDescent="0.2">
      <c r="A552" s="117" t="s">
        <v>583</v>
      </c>
      <c r="B552" s="79">
        <v>1.76</v>
      </c>
      <c r="C552" s="79">
        <v>0.88</v>
      </c>
      <c r="D552" s="78" t="s">
        <v>35</v>
      </c>
      <c r="E552" s="79">
        <f>4*0.55</f>
        <v>2.2000000000000002</v>
      </c>
      <c r="F552" s="79">
        <v>1.92</v>
      </c>
      <c r="G552" s="79">
        <v>1.42</v>
      </c>
      <c r="H552" s="79">
        <v>1.38</v>
      </c>
      <c r="I552" s="79">
        <v>2.72</v>
      </c>
      <c r="J552" s="139">
        <v>2.3466666666666667</v>
      </c>
      <c r="K552" s="139">
        <v>3.0533333333333332</v>
      </c>
      <c r="L552" s="79">
        <f>1.1124/0.45436</f>
        <v>2.4482788977902987</v>
      </c>
      <c r="M552" s="79">
        <f>2.65*0.55</f>
        <v>1.4575</v>
      </c>
      <c r="N552" s="79">
        <f>2.4*0.5</f>
        <v>1.2</v>
      </c>
      <c r="O552" s="79">
        <f>5.49*0.6972</f>
        <v>3.8276280000000003</v>
      </c>
      <c r="P552" s="79">
        <f>5.58*0.6972</f>
        <v>3.8903760000000003</v>
      </c>
      <c r="Q552" s="118">
        <f>5.28*0.6661</f>
        <v>3.5170080000000001</v>
      </c>
    </row>
    <row r="553" spans="1:17" ht="22.5" customHeight="1" x14ac:dyDescent="0.2">
      <c r="A553" s="117" t="s">
        <v>584</v>
      </c>
      <c r="B553" s="79">
        <v>1.73</v>
      </c>
      <c r="C553" s="79">
        <v>0.86</v>
      </c>
      <c r="D553" s="78" t="s">
        <v>35</v>
      </c>
      <c r="E553" s="79">
        <f>3.98*0.55</f>
        <v>2.1890000000000001</v>
      </c>
      <c r="F553" s="79">
        <v>1.92</v>
      </c>
      <c r="G553" s="79">
        <v>1.43</v>
      </c>
      <c r="H553" s="79">
        <v>1.37</v>
      </c>
      <c r="I553" s="79">
        <v>2.71</v>
      </c>
      <c r="J553" s="139">
        <v>2.3466666666666667</v>
      </c>
      <c r="K553" s="139">
        <v>3.0533333333333332</v>
      </c>
      <c r="L553" s="79">
        <f>1.1337/0.45436</f>
        <v>2.4951580244739855</v>
      </c>
      <c r="M553" s="79">
        <f>2.65*0.55</f>
        <v>1.4575</v>
      </c>
      <c r="N553" s="79">
        <f>2.4*0.5</f>
        <v>1.2</v>
      </c>
      <c r="O553" s="79">
        <f>5.16*0.7038</f>
        <v>3.6316079999999999</v>
      </c>
      <c r="P553" s="79">
        <f>5.63*0.7038</f>
        <v>3.9623939999999997</v>
      </c>
      <c r="Q553" s="118">
        <f>5.28*0.6753</f>
        <v>3.5655840000000003</v>
      </c>
    </row>
    <row r="554" spans="1:17" ht="24" customHeight="1" x14ac:dyDescent="0.2">
      <c r="A554" s="117" t="s">
        <v>585</v>
      </c>
      <c r="B554" s="79">
        <v>1.7</v>
      </c>
      <c r="C554" s="79">
        <v>0.87</v>
      </c>
      <c r="D554" s="78" t="s">
        <v>35</v>
      </c>
      <c r="E554" s="79">
        <f>3.98*0.55</f>
        <v>2.1890000000000001</v>
      </c>
      <c r="F554" s="79">
        <v>1.92</v>
      </c>
      <c r="G554" s="79">
        <v>1.43</v>
      </c>
      <c r="H554" s="79">
        <v>1.38</v>
      </c>
      <c r="I554" s="79">
        <v>2.71</v>
      </c>
      <c r="J554" s="139">
        <v>2.27</v>
      </c>
      <c r="K554" s="139">
        <v>2.99</v>
      </c>
      <c r="L554" s="79">
        <f>1.1302/0.45436</f>
        <v>2.4874548815916895</v>
      </c>
      <c r="M554" s="79">
        <f>2.65*0.55</f>
        <v>1.4575</v>
      </c>
      <c r="N554" s="79">
        <f>2.4*0.5</f>
        <v>1.2</v>
      </c>
      <c r="O554" s="79">
        <f>5.41*0.6946</f>
        <v>3.7577860000000003</v>
      </c>
      <c r="P554" s="79">
        <f>5.64*0.6946</f>
        <v>3.9175439999999999</v>
      </c>
      <c r="Q554" s="118">
        <f>5.3*0.6705</f>
        <v>3.5536499999999998</v>
      </c>
    </row>
    <row r="555" spans="1:17" ht="24.75" customHeight="1" x14ac:dyDescent="0.2">
      <c r="A555" s="117" t="s">
        <v>586</v>
      </c>
      <c r="B555" s="79">
        <v>1.65</v>
      </c>
      <c r="C555" s="79">
        <v>0.875</v>
      </c>
      <c r="D555" s="78"/>
      <c r="E555" s="79">
        <f>3.98*0.55</f>
        <v>2.1890000000000001</v>
      </c>
      <c r="F555" s="79">
        <v>1.92</v>
      </c>
      <c r="G555" s="79">
        <v>1.4</v>
      </c>
      <c r="H555" s="79">
        <v>1.34</v>
      </c>
      <c r="I555" s="79">
        <v>2.61</v>
      </c>
      <c r="J555" s="139">
        <v>2.1850899742930592</v>
      </c>
      <c r="K555" s="139">
        <v>2.9562982005141389</v>
      </c>
      <c r="L555" s="79">
        <f>1.1368/0.45436</f>
        <v>2.5019808081697335</v>
      </c>
      <c r="M555" s="79">
        <f>2.65*0.55</f>
        <v>1.4575</v>
      </c>
      <c r="N555" s="79">
        <f>2.4*0.5</f>
        <v>1.2</v>
      </c>
      <c r="O555" s="79">
        <f>5.49*0.68</f>
        <v>3.7332000000000005</v>
      </c>
      <c r="P555" s="79">
        <f>5.75*0.68</f>
        <v>3.91</v>
      </c>
      <c r="Q555" s="118">
        <f>5.4*0.6549</f>
        <v>3.5364600000000004</v>
      </c>
    </row>
    <row r="556" spans="1:17" ht="28.5" customHeight="1" x14ac:dyDescent="0.2">
      <c r="A556" s="117" t="s">
        <v>587</v>
      </c>
      <c r="B556" s="79">
        <v>1.61</v>
      </c>
      <c r="C556" s="79">
        <v>0.89600000000000002</v>
      </c>
      <c r="D556" s="79"/>
      <c r="E556" s="79">
        <f>3.98*0.55</f>
        <v>2.1890000000000001</v>
      </c>
      <c r="F556" s="79">
        <v>1.91</v>
      </c>
      <c r="G556" s="79">
        <v>1.34</v>
      </c>
      <c r="H556" s="79">
        <v>1.29</v>
      </c>
      <c r="I556" s="79">
        <v>2.6</v>
      </c>
      <c r="J556" s="139">
        <v>2.1954314720812182</v>
      </c>
      <c r="K556" s="139">
        <v>3.0203045685279188</v>
      </c>
      <c r="L556" s="79">
        <f>1.1382/0.45436</f>
        <v>2.5050620653226519</v>
      </c>
      <c r="M556" s="79">
        <f t="shared" ref="M556:M561" si="2">2.7*0.55</f>
        <v>1.4850000000000003</v>
      </c>
      <c r="N556" s="79">
        <f>2.45*0.5</f>
        <v>1.2250000000000001</v>
      </c>
      <c r="O556" s="79">
        <f>5.66*0.6811</f>
        <v>3.8550260000000005</v>
      </c>
      <c r="P556" s="79">
        <f>5.62*0.6811</f>
        <v>3.8277820000000005</v>
      </c>
      <c r="Q556" s="118">
        <f>5.42*0.6484</f>
        <v>3.5143279999999999</v>
      </c>
    </row>
    <row r="557" spans="1:17" ht="24.75" customHeight="1" x14ac:dyDescent="0.2">
      <c r="A557" s="117" t="s">
        <v>588</v>
      </c>
      <c r="B557" s="79">
        <v>1.31</v>
      </c>
      <c r="C557" s="79">
        <v>0.81</v>
      </c>
      <c r="D557" s="79"/>
      <c r="E557" s="79">
        <f>3.97*0.55</f>
        <v>2.1835000000000004</v>
      </c>
      <c r="F557" s="79">
        <v>1.91</v>
      </c>
      <c r="G557" s="79">
        <v>1.34</v>
      </c>
      <c r="H557" s="79">
        <v>1.29</v>
      </c>
      <c r="I557" s="79">
        <v>2.5499999999999998</v>
      </c>
      <c r="J557" s="139">
        <v>2.1625000000000001</v>
      </c>
      <c r="K557" s="139">
        <v>2.9750000000000001</v>
      </c>
      <c r="L557" s="79">
        <f>1.1237/0.45436</f>
        <v>2.4731490448102824</v>
      </c>
      <c r="M557" s="79">
        <f t="shared" si="2"/>
        <v>1.4850000000000003</v>
      </c>
      <c r="N557" s="79">
        <f>2.42*0.5</f>
        <v>1.21</v>
      </c>
      <c r="O557" s="79">
        <f>5.35*0.6777</f>
        <v>3.6256949999999994</v>
      </c>
      <c r="P557" s="79">
        <f>5.59*0.6777</f>
        <v>3.7883429999999998</v>
      </c>
      <c r="Q557" s="118">
        <f>5.47*0.6445</f>
        <v>3.5254149999999997</v>
      </c>
    </row>
    <row r="558" spans="1:17" ht="28.5" customHeight="1" x14ac:dyDescent="0.2">
      <c r="A558" s="117" t="s">
        <v>589</v>
      </c>
      <c r="B558" s="79">
        <v>1.36</v>
      </c>
      <c r="C558" s="79">
        <v>0.94</v>
      </c>
      <c r="D558" s="79"/>
      <c r="E558" s="79">
        <f>3.97*0.55</f>
        <v>2.1835000000000004</v>
      </c>
      <c r="F558" s="79">
        <v>1.9</v>
      </c>
      <c r="G558" s="79">
        <v>1.29</v>
      </c>
      <c r="H558" s="79">
        <v>1.25</v>
      </c>
      <c r="I558" s="79">
        <v>2.5099999999999998</v>
      </c>
      <c r="J558" s="139">
        <v>2.0316301703163013</v>
      </c>
      <c r="K558" s="139">
        <v>2.8953771289537711</v>
      </c>
      <c r="L558" s="79">
        <f>1.0668/0.45436</f>
        <v>2.3479179505238137</v>
      </c>
      <c r="M558" s="79">
        <f t="shared" si="2"/>
        <v>1.4850000000000003</v>
      </c>
      <c r="N558" s="79">
        <f>2.45*0.5</f>
        <v>1.2250000000000001</v>
      </c>
      <c r="O558" s="79">
        <f>5.39*0.6758</f>
        <v>3.6425619999999994</v>
      </c>
      <c r="P558" s="79">
        <f>5.75*0.6758</f>
        <v>3.8858499999999996</v>
      </c>
      <c r="Q558" s="118">
        <f>5.52*0.637</f>
        <v>3.5162399999999998</v>
      </c>
    </row>
    <row r="559" spans="1:17" ht="30" customHeight="1" x14ac:dyDescent="0.2">
      <c r="A559" s="117" t="s">
        <v>590</v>
      </c>
      <c r="B559" s="79">
        <v>1.32</v>
      </c>
      <c r="C559" s="79">
        <v>0.85</v>
      </c>
      <c r="D559" s="79"/>
      <c r="E559" s="79">
        <f>3.95*0.55</f>
        <v>2.1725000000000003</v>
      </c>
      <c r="F559" s="79">
        <v>1.9</v>
      </c>
      <c r="G559" s="79">
        <v>1.23</v>
      </c>
      <c r="H559" s="79">
        <v>1.17</v>
      </c>
      <c r="I559" s="79">
        <v>2.5099999999999998</v>
      </c>
      <c r="J559" s="139">
        <v>2.0531400966183577</v>
      </c>
      <c r="K559" s="139">
        <v>2.910628019323672</v>
      </c>
      <c r="L559" s="79">
        <f>1.0712/0.45436</f>
        <v>2.3576019015758427</v>
      </c>
      <c r="M559" s="79">
        <f t="shared" si="2"/>
        <v>1.4850000000000003</v>
      </c>
      <c r="N559" s="79">
        <f>2.45*0.5</f>
        <v>1.2250000000000001</v>
      </c>
      <c r="O559" s="79">
        <f>5.53*0.6735</f>
        <v>3.7244550000000003</v>
      </c>
      <c r="P559" s="79">
        <f>5.74*0.6735</f>
        <v>3.8658900000000003</v>
      </c>
      <c r="Q559" s="118">
        <f>5.56*0.6317</f>
        <v>3.5122520000000002</v>
      </c>
    </row>
    <row r="560" spans="1:17" ht="27" customHeight="1" x14ac:dyDescent="0.2">
      <c r="A560" s="117" t="s">
        <v>591</v>
      </c>
      <c r="B560" s="79">
        <v>1.39</v>
      </c>
      <c r="C560" s="79">
        <v>0.86899999999999999</v>
      </c>
      <c r="D560" s="79"/>
      <c r="E560" s="79">
        <f>3.93*0.55</f>
        <v>2.1615000000000002</v>
      </c>
      <c r="F560" s="79">
        <v>1.9</v>
      </c>
      <c r="G560" s="79">
        <v>1.2</v>
      </c>
      <c r="H560" s="79">
        <v>1.1499999999999999</v>
      </c>
      <c r="I560" s="79">
        <v>2.5299999999999998</v>
      </c>
      <c r="J560" s="139">
        <v>2.1071863580998782</v>
      </c>
      <c r="K560" s="139">
        <v>3.0085261875761264</v>
      </c>
      <c r="L560" s="79">
        <f>1.0559/0.45436</f>
        <v>2.3239281626903781</v>
      </c>
      <c r="M560" s="79">
        <f t="shared" si="2"/>
        <v>1.4850000000000003</v>
      </c>
      <c r="N560" s="79">
        <f>2.45*0.5</f>
        <v>1.2250000000000001</v>
      </c>
      <c r="O560" s="79">
        <f>5.43*0.6817</f>
        <v>3.7016309999999994</v>
      </c>
      <c r="P560" s="79">
        <f>5.76*0.6817</f>
        <v>3.9265919999999999</v>
      </c>
      <c r="Q560" s="118">
        <f>5.56*0.6374</f>
        <v>3.5439439999999998</v>
      </c>
    </row>
    <row r="561" spans="1:17" ht="25.5" customHeight="1" x14ac:dyDescent="0.2">
      <c r="A561" s="117" t="s">
        <v>592</v>
      </c>
      <c r="B561" s="79">
        <v>1.38</v>
      </c>
      <c r="C561" s="79">
        <v>0.86680297397769523</v>
      </c>
      <c r="D561" s="79"/>
      <c r="E561" s="79">
        <f>3.98*0.55</f>
        <v>2.1890000000000001</v>
      </c>
      <c r="F561" s="79">
        <v>1.9</v>
      </c>
      <c r="G561" s="79">
        <v>1.19</v>
      </c>
      <c r="H561" s="79">
        <v>1.1499999999999999</v>
      </c>
      <c r="I561" s="79">
        <v>2.59</v>
      </c>
      <c r="J561" s="139">
        <v>2.1253071253071254</v>
      </c>
      <c r="K561" s="139">
        <v>3.0343980343980341</v>
      </c>
      <c r="L561" s="79">
        <f>1.0173/0.45436</f>
        <v>2.238973501188485</v>
      </c>
      <c r="M561" s="79">
        <f t="shared" si="2"/>
        <v>1.4850000000000003</v>
      </c>
      <c r="N561" s="79">
        <f>2.45*0.5</f>
        <v>1.2250000000000001</v>
      </c>
      <c r="O561" s="79">
        <f>5.56*0.6885</f>
        <v>3.8280599999999998</v>
      </c>
      <c r="P561" s="79">
        <f>5.73*0.6885</f>
        <v>3.9451050000000003</v>
      </c>
      <c r="Q561" s="118">
        <f>5.56*0.6384</f>
        <v>3.5495039999999998</v>
      </c>
    </row>
    <row r="562" spans="1:17" ht="24" customHeight="1" x14ac:dyDescent="0.2">
      <c r="A562" s="117" t="s">
        <v>593</v>
      </c>
      <c r="B562" s="79">
        <v>1.38</v>
      </c>
      <c r="C562" s="79">
        <v>0.85299999999999998</v>
      </c>
      <c r="D562" s="79"/>
      <c r="E562" s="79">
        <f>3.99*0.55</f>
        <v>2.1945000000000001</v>
      </c>
      <c r="F562" s="79">
        <v>1.93</v>
      </c>
      <c r="G562" s="79">
        <v>1.2</v>
      </c>
      <c r="H562" s="79">
        <v>1.1000000000000001</v>
      </c>
      <c r="I562" s="79">
        <v>2.52</v>
      </c>
      <c r="J562" s="139">
        <v>2.08</v>
      </c>
      <c r="K562" s="139">
        <v>2.97</v>
      </c>
      <c r="L562" s="79">
        <f>1.0072/0.45436</f>
        <v>2.2167444317281455</v>
      </c>
      <c r="M562" s="79">
        <f>2.8*0.55</f>
        <v>1.54</v>
      </c>
      <c r="N562" s="79">
        <f>2.55*0.5</f>
        <v>1.2749999999999999</v>
      </c>
      <c r="O562" s="79">
        <f>5.56*0.677</f>
        <v>3.7641200000000001</v>
      </c>
      <c r="P562" s="79">
        <f>5.67*0.677</f>
        <v>3.8385900000000004</v>
      </c>
      <c r="Q562" s="118">
        <f>5.56*0.6257</f>
        <v>3.4788920000000001</v>
      </c>
    </row>
    <row r="563" spans="1:17" ht="24" customHeight="1" x14ac:dyDescent="0.2">
      <c r="A563" s="117" t="s">
        <v>594</v>
      </c>
      <c r="B563" s="79">
        <v>1.36</v>
      </c>
      <c r="C563" s="79">
        <v>0.85</v>
      </c>
      <c r="D563" s="79"/>
      <c r="E563" s="79">
        <f>4.05*0.55</f>
        <v>2.2275</v>
      </c>
      <c r="F563" s="79">
        <v>1.95</v>
      </c>
      <c r="G563" s="79">
        <v>1.18</v>
      </c>
      <c r="H563" s="79">
        <v>1.08</v>
      </c>
      <c r="I563" s="79">
        <v>2.61</v>
      </c>
      <c r="J563" s="139">
        <v>2.0499999999999998</v>
      </c>
      <c r="K563" s="139">
        <v>3.02</v>
      </c>
      <c r="L563" s="79">
        <f>1.0192/0.45436</f>
        <v>2.2431552073245888</v>
      </c>
      <c r="M563" s="79">
        <f t="shared" ref="M563:M568" si="3">2.75*0.55</f>
        <v>1.5125000000000002</v>
      </c>
      <c r="N563" s="79">
        <f>2.5*0.5</f>
        <v>1.25</v>
      </c>
      <c r="O563" s="79">
        <f>5.26*0.6762</f>
        <v>3.5568119999999999</v>
      </c>
      <c r="P563" s="79">
        <f>5.64*0.6762</f>
        <v>3.813768</v>
      </c>
      <c r="Q563" s="118">
        <f>5.57*0.6295</f>
        <v>3.5063149999999998</v>
      </c>
    </row>
    <row r="564" spans="1:17" ht="24" customHeight="1" x14ac:dyDescent="0.2">
      <c r="A564" s="117" t="s">
        <v>595</v>
      </c>
      <c r="B564" s="79">
        <v>1.33</v>
      </c>
      <c r="C564" s="79">
        <v>0.86299999999999999</v>
      </c>
      <c r="D564" s="79">
        <f t="shared" ref="D564:D680" si="4">+D562-D559</f>
        <v>0</v>
      </c>
      <c r="E564" s="79">
        <f>4.08*0.55</f>
        <v>2.2440000000000002</v>
      </c>
      <c r="F564" s="79">
        <v>1.97</v>
      </c>
      <c r="G564" s="79">
        <v>1.19</v>
      </c>
      <c r="H564" s="79">
        <v>1.0900000000000001</v>
      </c>
      <c r="I564" s="79">
        <v>2.63</v>
      </c>
      <c r="J564" s="139">
        <v>2.12</v>
      </c>
      <c r="K564" s="139">
        <v>3.18</v>
      </c>
      <c r="L564" s="79">
        <f>1.0493/0.45436</f>
        <v>2.3094022361123336</v>
      </c>
      <c r="M564" s="79">
        <f t="shared" si="3"/>
        <v>1.5125000000000002</v>
      </c>
      <c r="N564" s="79">
        <f>2.5*0.5</f>
        <v>1.25</v>
      </c>
      <c r="O564" s="79">
        <f>5.25*0.6771</f>
        <v>3.5547750000000002</v>
      </c>
      <c r="P564" s="79">
        <f>5.65*0.6771</f>
        <v>3.8256150000000004</v>
      </c>
      <c r="Q564" s="118">
        <f>5.57*0.6319</f>
        <v>3.5196830000000001</v>
      </c>
    </row>
    <row r="565" spans="1:17" ht="25.5" customHeight="1" x14ac:dyDescent="0.2">
      <c r="A565" s="117" t="s">
        <v>596</v>
      </c>
      <c r="B565" s="79">
        <v>1.33</v>
      </c>
      <c r="C565" s="79">
        <v>0.86</v>
      </c>
      <c r="D565" s="79">
        <f t="shared" si="4"/>
        <v>0</v>
      </c>
      <c r="E565" s="79">
        <f>4.13*0.55</f>
        <v>2.2715000000000001</v>
      </c>
      <c r="F565" s="79">
        <v>2.0099999999999998</v>
      </c>
      <c r="G565" s="79">
        <v>1.2</v>
      </c>
      <c r="H565" s="79">
        <v>1.1100000000000001</v>
      </c>
      <c r="I565" s="79">
        <v>2.65</v>
      </c>
      <c r="J565" s="139">
        <v>2.17</v>
      </c>
      <c r="K565" s="139">
        <v>3.27</v>
      </c>
      <c r="L565" s="79">
        <f>1.0734/0.45436</f>
        <v>2.3624438771018572</v>
      </c>
      <c r="M565" s="79">
        <f t="shared" si="3"/>
        <v>1.5125000000000002</v>
      </c>
      <c r="N565" s="79">
        <f>2.55*0.5</f>
        <v>1.2749999999999999</v>
      </c>
      <c r="O565" s="79">
        <f>5.37*0.6767</f>
        <v>3.6338789999999999</v>
      </c>
      <c r="P565" s="79">
        <f>5.6*0.6767</f>
        <v>3.7895199999999996</v>
      </c>
      <c r="Q565" s="118">
        <f>5.61*0.6325</f>
        <v>3.5483249999999997</v>
      </c>
    </row>
    <row r="566" spans="1:17" ht="25.5" customHeight="1" x14ac:dyDescent="0.2">
      <c r="A566" s="117" t="s">
        <v>597</v>
      </c>
      <c r="B566" s="79">
        <v>1.32</v>
      </c>
      <c r="C566" s="79">
        <v>0.87</v>
      </c>
      <c r="D566" s="79">
        <f t="shared" si="4"/>
        <v>0</v>
      </c>
      <c r="E566" s="79">
        <f>4.17*0.55</f>
        <v>2.2935000000000003</v>
      </c>
      <c r="F566" s="79">
        <v>2.04</v>
      </c>
      <c r="G566" s="79">
        <v>1.19</v>
      </c>
      <c r="H566" s="79">
        <v>1.1100000000000001</v>
      </c>
      <c r="I566" s="79">
        <v>2.65</v>
      </c>
      <c r="J566" s="139">
        <v>2.2000000000000002</v>
      </c>
      <c r="K566" s="139">
        <v>3.25</v>
      </c>
      <c r="L566" s="79">
        <f>1.0921/0.45436</f>
        <v>2.4036006690729819</v>
      </c>
      <c r="M566" s="79">
        <f t="shared" si="3"/>
        <v>1.5125000000000002</v>
      </c>
      <c r="N566" s="79">
        <f>2.55*0.5</f>
        <v>1.2749999999999999</v>
      </c>
      <c r="O566" s="79">
        <f>5.44*0.6821</f>
        <v>3.7106240000000006</v>
      </c>
      <c r="P566" s="79">
        <f>5.6*0.6821</f>
        <v>3.81976</v>
      </c>
      <c r="Q566" s="118">
        <f>5.62*0.6344</f>
        <v>3.5653280000000001</v>
      </c>
    </row>
    <row r="567" spans="1:17" ht="24.75" customHeight="1" x14ac:dyDescent="0.2">
      <c r="A567" s="117" t="s">
        <v>598</v>
      </c>
      <c r="B567" s="79">
        <v>1.26</v>
      </c>
      <c r="C567" s="79">
        <v>0.87</v>
      </c>
      <c r="D567" s="79">
        <f t="shared" si="4"/>
        <v>0</v>
      </c>
      <c r="E567" s="79">
        <f>4.2*0.55</f>
        <v>2.3100000000000005</v>
      </c>
      <c r="F567" s="79">
        <v>2.1</v>
      </c>
      <c r="G567" s="79">
        <v>1.24</v>
      </c>
      <c r="H567" s="79">
        <v>1.1399999999999999</v>
      </c>
      <c r="I567" s="79">
        <v>2.76</v>
      </c>
      <c r="J567" s="139">
        <v>2.2863568215892056</v>
      </c>
      <c r="K567" s="139">
        <v>3.3858070964517744</v>
      </c>
      <c r="L567" s="79">
        <f>1.0973/0.45436</f>
        <v>2.415045338498107</v>
      </c>
      <c r="M567" s="79">
        <f t="shared" si="3"/>
        <v>1.5125000000000002</v>
      </c>
      <c r="N567" s="79">
        <f>2.55*0.5</f>
        <v>1.2749999999999999</v>
      </c>
      <c r="O567" s="79">
        <f>5.37*0.6817</f>
        <v>3.6607289999999999</v>
      </c>
      <c r="P567" s="79">
        <f>5.6*0.6817</f>
        <v>3.8175199999999996</v>
      </c>
      <c r="Q567" s="118">
        <f>5.62*0.638</f>
        <v>3.5855600000000001</v>
      </c>
    </row>
    <row r="568" spans="1:17" ht="22.5" customHeight="1" x14ac:dyDescent="0.2">
      <c r="A568" s="117" t="s">
        <v>599</v>
      </c>
      <c r="B568" s="79">
        <v>1.4</v>
      </c>
      <c r="C568" s="79">
        <v>0.996</v>
      </c>
      <c r="D568" s="79">
        <f t="shared" si="4"/>
        <v>0</v>
      </c>
      <c r="E568" s="79">
        <f>4.2*0.55</f>
        <v>2.3100000000000005</v>
      </c>
      <c r="F568" s="79">
        <v>2.12</v>
      </c>
      <c r="G568" s="79">
        <v>1.35</v>
      </c>
      <c r="H568" s="79">
        <v>1.21</v>
      </c>
      <c r="I568" s="79">
        <v>2.78</v>
      </c>
      <c r="J568" s="139">
        <v>2.35</v>
      </c>
      <c r="K568" s="139">
        <v>3.5</v>
      </c>
      <c r="L568" s="79">
        <f>1.1013/0.45436</f>
        <v>2.4238489303635884</v>
      </c>
      <c r="M568" s="79">
        <f t="shared" si="3"/>
        <v>1.5125000000000002</v>
      </c>
      <c r="N568" s="79">
        <f>2.5*0.5</f>
        <v>1.25</v>
      </c>
      <c r="O568" s="79">
        <f>5.3*0.6894</f>
        <v>3.6538200000000001</v>
      </c>
      <c r="P568" s="79">
        <f>5.57*0.6894</f>
        <v>3.8399580000000002</v>
      </c>
      <c r="Q568" s="118">
        <f>5.655*0.6413</f>
        <v>3.6265515000000001</v>
      </c>
    </row>
    <row r="569" spans="1:17" ht="23.25" customHeight="1" x14ac:dyDescent="0.2">
      <c r="A569" s="117" t="s">
        <v>600</v>
      </c>
      <c r="B569" s="79">
        <v>1.4</v>
      </c>
      <c r="C569" s="79">
        <v>1.01</v>
      </c>
      <c r="D569" s="80">
        <f t="shared" si="4"/>
        <v>0</v>
      </c>
      <c r="E569" s="79">
        <f>4.2*0.55</f>
        <v>2.3100000000000005</v>
      </c>
      <c r="F569" s="79">
        <v>2.14</v>
      </c>
      <c r="G569" s="79">
        <v>1.39</v>
      </c>
      <c r="H569" s="79">
        <v>1.27</v>
      </c>
      <c r="I569" s="79">
        <v>2.87</v>
      </c>
      <c r="J569" s="139">
        <v>2.4243879020643302</v>
      </c>
      <c r="K569" s="139">
        <v>3.6605856937109933</v>
      </c>
      <c r="L569" s="79">
        <f>1.11303/0.45436</f>
        <v>2.4496654635091115</v>
      </c>
      <c r="M569" s="79">
        <f>2.8*0.55</f>
        <v>1.54</v>
      </c>
      <c r="N569" s="79">
        <f>2.55*0.5</f>
        <v>1.2749999999999999</v>
      </c>
      <c r="O569" s="79">
        <f>5.17*0.6905</f>
        <v>3.5698849999999998</v>
      </c>
      <c r="P569" s="79">
        <f>5.78*0.6905</f>
        <v>3.9910900000000002</v>
      </c>
      <c r="Q569" s="118">
        <f>5.746*0.636</f>
        <v>3.6544560000000001</v>
      </c>
    </row>
    <row r="570" spans="1:17" ht="27" customHeight="1" x14ac:dyDescent="0.2">
      <c r="A570" s="117" t="s">
        <v>601</v>
      </c>
      <c r="B570" s="79">
        <v>1.4</v>
      </c>
      <c r="C570" s="79">
        <v>0.94</v>
      </c>
      <c r="D570" s="80">
        <f t="shared" si="4"/>
        <v>0</v>
      </c>
      <c r="E570" s="79">
        <f>4.23*0.55</f>
        <v>2.3265000000000002</v>
      </c>
      <c r="F570" s="79">
        <v>2.14</v>
      </c>
      <c r="G570" s="79">
        <v>1.35</v>
      </c>
      <c r="H570" s="79">
        <v>1.27</v>
      </c>
      <c r="I570" s="79">
        <v>3.17</v>
      </c>
      <c r="J570" s="139">
        <v>2.66</v>
      </c>
      <c r="K570" s="139">
        <v>3.9980000000000002</v>
      </c>
      <c r="L570" s="79">
        <f>1.146/0.45436</f>
        <v>2.5222290694603395</v>
      </c>
      <c r="M570" s="79">
        <f>2.8*0.55</f>
        <v>1.54</v>
      </c>
      <c r="N570" s="79">
        <f>2.55*0.5</f>
        <v>1.2749999999999999</v>
      </c>
      <c r="O570" s="79">
        <f>5.39*0.678</f>
        <v>3.65442</v>
      </c>
      <c r="P570" s="79">
        <f>5.76*0.678</f>
        <v>3.9052800000000003</v>
      </c>
      <c r="Q570" s="118">
        <f>5.8*0.637</f>
        <v>3.6945999999999999</v>
      </c>
    </row>
    <row r="571" spans="1:17" ht="21.75" customHeight="1" x14ac:dyDescent="0.2">
      <c r="A571" s="117" t="s">
        <v>602</v>
      </c>
      <c r="B571" s="79">
        <v>1.4</v>
      </c>
      <c r="C571" s="79">
        <v>0.98299999999999998</v>
      </c>
      <c r="D571" s="80">
        <f t="shared" si="4"/>
        <v>0</v>
      </c>
      <c r="E571" s="79">
        <f>4.27*0.55</f>
        <v>2.3485</v>
      </c>
      <c r="F571" s="79">
        <v>2.17</v>
      </c>
      <c r="G571" s="79">
        <v>1.48</v>
      </c>
      <c r="H571" s="79">
        <v>1.4</v>
      </c>
      <c r="I571" s="79">
        <v>3.62</v>
      </c>
      <c r="J571" s="139">
        <v>3.0190930787589498</v>
      </c>
      <c r="K571" s="139">
        <v>4.6300715990453449</v>
      </c>
      <c r="L571" s="79">
        <f>1.1519/0.45436</f>
        <v>2.5352143674619243</v>
      </c>
      <c r="M571" s="79">
        <f t="shared" ref="M571:M577" si="5">2.85*0.55</f>
        <v>1.5675000000000001</v>
      </c>
      <c r="N571" s="79">
        <f>2.6*0.5</f>
        <v>1.3</v>
      </c>
      <c r="O571" s="79">
        <f>5.4*0.6786</f>
        <v>3.6644399999999999</v>
      </c>
      <c r="P571" s="79">
        <f>5.83*0.6786</f>
        <v>3.9562379999999999</v>
      </c>
      <c r="Q571" s="118">
        <f>6.02*0.6401</f>
        <v>3.8534019999999995</v>
      </c>
    </row>
    <row r="572" spans="1:17" ht="22.5" customHeight="1" x14ac:dyDescent="0.2">
      <c r="A572" s="117" t="s">
        <v>603</v>
      </c>
      <c r="B572" s="79">
        <v>1.4</v>
      </c>
      <c r="C572" s="79">
        <v>0.91</v>
      </c>
      <c r="D572" s="80">
        <f t="shared" si="4"/>
        <v>0</v>
      </c>
      <c r="E572" s="79">
        <f>4.23*0.55</f>
        <v>2.3265000000000002</v>
      </c>
      <c r="F572" s="79">
        <v>2.14</v>
      </c>
      <c r="G572" s="79">
        <v>1.57</v>
      </c>
      <c r="H572" s="79">
        <v>1.48</v>
      </c>
      <c r="I572" s="79">
        <v>3.64</v>
      </c>
      <c r="J572" s="139">
        <v>2.99</v>
      </c>
      <c r="K572" s="139">
        <v>4.51</v>
      </c>
      <c r="L572" s="79">
        <f>1.1596/0.45436</f>
        <v>2.5521612818029755</v>
      </c>
      <c r="M572" s="79">
        <f t="shared" si="5"/>
        <v>1.5675000000000001</v>
      </c>
      <c r="N572" s="79">
        <f>2.65*0.5</f>
        <v>1.325</v>
      </c>
      <c r="O572" s="79">
        <f>5.31*0.6762</f>
        <v>3.5906219999999998</v>
      </c>
      <c r="P572" s="79">
        <f>5.46*0.6762</f>
        <v>3.6920519999999999</v>
      </c>
      <c r="Q572" s="118">
        <f>6.01*0.642</f>
        <v>3.8584199999999997</v>
      </c>
    </row>
    <row r="573" spans="1:17" ht="24.75" customHeight="1" x14ac:dyDescent="0.2">
      <c r="A573" s="117" t="s">
        <v>604</v>
      </c>
      <c r="B573" s="79">
        <v>1.4</v>
      </c>
      <c r="C573" s="79">
        <v>0.91</v>
      </c>
      <c r="D573" s="80">
        <f t="shared" si="4"/>
        <v>0</v>
      </c>
      <c r="E573" s="79">
        <f>4.15*0.55</f>
        <v>2.2825000000000002</v>
      </c>
      <c r="F573" s="79">
        <v>2.08</v>
      </c>
      <c r="G573" s="79">
        <v>1.69</v>
      </c>
      <c r="H573" s="79">
        <v>1.55</v>
      </c>
      <c r="I573" s="79">
        <v>3.4</v>
      </c>
      <c r="J573" s="139">
        <v>2.9</v>
      </c>
      <c r="K573" s="139">
        <v>4.09</v>
      </c>
      <c r="L573" s="79">
        <f>1.1821/0.45436</f>
        <v>2.6016814860463069</v>
      </c>
      <c r="M573" s="79">
        <f t="shared" si="5"/>
        <v>1.5675000000000001</v>
      </c>
      <c r="N573" s="79">
        <f>2.65*0.5</f>
        <v>1.325</v>
      </c>
      <c r="O573" s="79">
        <f>5.01*0.683</f>
        <v>3.4218299999999999</v>
      </c>
      <c r="P573" s="79">
        <f>5.19*0.683</f>
        <v>3.5447700000000006</v>
      </c>
      <c r="Q573" s="118">
        <f>5.913*0.654</f>
        <v>3.8671020000000005</v>
      </c>
    </row>
    <row r="574" spans="1:17" ht="27.75" customHeight="1" x14ac:dyDescent="0.2">
      <c r="A574" s="117" t="s">
        <v>605</v>
      </c>
      <c r="B574" s="79">
        <v>1.4</v>
      </c>
      <c r="C574" s="79">
        <v>0.879</v>
      </c>
      <c r="D574" s="80">
        <f t="shared" si="4"/>
        <v>0</v>
      </c>
      <c r="E574" s="79">
        <f>4.05*0.55</f>
        <v>2.2275</v>
      </c>
      <c r="F574" s="79">
        <v>2</v>
      </c>
      <c r="G574" s="79">
        <v>1.71</v>
      </c>
      <c r="H574" s="79">
        <v>1.47</v>
      </c>
      <c r="I574" s="79">
        <v>3.38</v>
      </c>
      <c r="J574" s="139">
        <v>2.8000973946919889</v>
      </c>
      <c r="K574" s="139">
        <v>3.8592646700754805</v>
      </c>
      <c r="L574" s="79">
        <f>1.1892/0.45436</f>
        <v>2.6173078616075358</v>
      </c>
      <c r="M574" s="79">
        <f t="shared" si="5"/>
        <v>1.5675000000000001</v>
      </c>
      <c r="N574" s="79">
        <f>2.6*0.5</f>
        <v>1.3</v>
      </c>
      <c r="O574" s="79">
        <f>5.11*0.689</f>
        <v>3.5207899999999999</v>
      </c>
      <c r="P574" s="79">
        <f>5.15*0.689</f>
        <v>3.5483500000000001</v>
      </c>
      <c r="Q574" s="118">
        <f>5.863*0.659</f>
        <v>3.8637170000000003</v>
      </c>
    </row>
    <row r="575" spans="1:17" ht="30.75" customHeight="1" x14ac:dyDescent="0.2">
      <c r="A575" s="117" t="s">
        <v>606</v>
      </c>
      <c r="B575" s="79">
        <v>1.48</v>
      </c>
      <c r="C575" s="79">
        <v>0.89500000000000002</v>
      </c>
      <c r="D575" s="80">
        <f t="shared" si="4"/>
        <v>0</v>
      </c>
      <c r="E575" s="79">
        <f>3.97*0.55</f>
        <v>2.1835000000000004</v>
      </c>
      <c r="F575" s="79">
        <v>1.94</v>
      </c>
      <c r="G575" s="79">
        <v>1.69</v>
      </c>
      <c r="H575" s="79">
        <v>1.57</v>
      </c>
      <c r="I575" s="79">
        <v>3.33</v>
      </c>
      <c r="J575" s="139">
        <v>2.6650366748166263</v>
      </c>
      <c r="K575" s="139">
        <v>3.8141809290953548</v>
      </c>
      <c r="L575" s="79">
        <f>1.1917/0.45436</f>
        <v>2.6228101065234615</v>
      </c>
      <c r="M575" s="79">
        <f t="shared" si="5"/>
        <v>1.5675000000000001</v>
      </c>
      <c r="N575" s="79">
        <f>2.65*0.5</f>
        <v>1.325</v>
      </c>
      <c r="O575" s="79" t="s">
        <v>132</v>
      </c>
      <c r="P575" s="79" t="s">
        <v>132</v>
      </c>
      <c r="Q575" s="118">
        <f>5.71*0.6605</f>
        <v>3.771455</v>
      </c>
    </row>
    <row r="576" spans="1:17" ht="30.75" customHeight="1" x14ac:dyDescent="0.2">
      <c r="A576" s="117" t="s">
        <v>607</v>
      </c>
      <c r="B576" s="79">
        <v>1.46</v>
      </c>
      <c r="C576" s="79">
        <v>0.84799999999999998</v>
      </c>
      <c r="D576" s="80">
        <f t="shared" si="4"/>
        <v>0</v>
      </c>
      <c r="E576" s="79">
        <f>3.93*0.55</f>
        <v>2.1615000000000002</v>
      </c>
      <c r="F576" s="79">
        <v>1.91</v>
      </c>
      <c r="G576" s="79">
        <v>1.67</v>
      </c>
      <c r="H576" s="79">
        <v>1.57</v>
      </c>
      <c r="I576" s="79">
        <v>3.27</v>
      </c>
      <c r="J576" s="139">
        <v>2.7050395256916993</v>
      </c>
      <c r="K576" s="139">
        <v>4.0019762845849804</v>
      </c>
      <c r="L576" s="79">
        <f>1.2036/0.45436</f>
        <v>2.6490007923232679</v>
      </c>
      <c r="M576" s="79">
        <f t="shared" si="5"/>
        <v>1.5675000000000001</v>
      </c>
      <c r="N576" s="79">
        <f>2.65*0.5</f>
        <v>1.325</v>
      </c>
      <c r="O576" s="79" t="s">
        <v>132</v>
      </c>
      <c r="P576" s="79" t="s">
        <v>132</v>
      </c>
      <c r="Q576" s="118">
        <f>5.61*0.67</f>
        <v>3.7587000000000006</v>
      </c>
    </row>
    <row r="577" spans="1:17" ht="33.75" customHeight="1" x14ac:dyDescent="0.2">
      <c r="A577" s="119" t="s">
        <v>608</v>
      </c>
      <c r="B577" s="81">
        <v>1.47</v>
      </c>
      <c r="C577" s="81">
        <v>0.876</v>
      </c>
      <c r="D577" s="82">
        <f t="shared" si="4"/>
        <v>0</v>
      </c>
      <c r="E577" s="81">
        <f>3.87*0.55</f>
        <v>2.1285000000000003</v>
      </c>
      <c r="F577" s="81">
        <v>1.8</v>
      </c>
      <c r="G577" s="81">
        <v>1.7</v>
      </c>
      <c r="H577" s="81">
        <v>1.58</v>
      </c>
      <c r="I577" s="81">
        <v>3.29</v>
      </c>
      <c r="J577" s="140">
        <v>2.7037037037037037</v>
      </c>
      <c r="K577" s="140">
        <v>4</v>
      </c>
      <c r="L577" s="81">
        <f>1.2228/0.45436</f>
        <v>2.6912580332775775</v>
      </c>
      <c r="M577" s="81">
        <f t="shared" si="5"/>
        <v>1.5675000000000001</v>
      </c>
      <c r="N577" s="81">
        <f>2.65*0.5</f>
        <v>1.325</v>
      </c>
      <c r="O577" s="81" t="s">
        <v>132</v>
      </c>
      <c r="P577" s="81" t="s">
        <v>132</v>
      </c>
      <c r="Q577" s="120" t="s">
        <v>132</v>
      </c>
    </row>
    <row r="578" spans="1:17" ht="31.5" customHeight="1" x14ac:dyDescent="0.2">
      <c r="A578" s="119" t="s">
        <v>609</v>
      </c>
      <c r="B578" s="81">
        <v>1.52</v>
      </c>
      <c r="C578" s="81">
        <v>0.89</v>
      </c>
      <c r="D578" s="82">
        <f t="shared" si="4"/>
        <v>0</v>
      </c>
      <c r="E578" s="81">
        <f>3.87*0.55</f>
        <v>2.1285000000000003</v>
      </c>
      <c r="F578" s="81">
        <v>1.8</v>
      </c>
      <c r="G578" s="81">
        <v>1.69</v>
      </c>
      <c r="H578" s="81">
        <v>1.6</v>
      </c>
      <c r="I578" s="81">
        <v>3.25</v>
      </c>
      <c r="J578" s="140">
        <v>2.6348039215686274</v>
      </c>
      <c r="K578" s="140">
        <v>3.7132352941176472</v>
      </c>
      <c r="L578" s="81">
        <f>1.2421/0.45436</f>
        <v>2.7337353640285236</v>
      </c>
      <c r="M578" s="81">
        <f>2.9*0.55</f>
        <v>1.595</v>
      </c>
      <c r="N578" s="81">
        <f>2.65*0.5</f>
        <v>1.325</v>
      </c>
      <c r="O578" s="81" t="s">
        <v>132</v>
      </c>
      <c r="P578" s="81" t="s">
        <v>132</v>
      </c>
      <c r="Q578" s="120" t="s">
        <v>132</v>
      </c>
    </row>
    <row r="579" spans="1:17" ht="24.75" customHeight="1" x14ac:dyDescent="0.2">
      <c r="A579" s="119" t="s">
        <v>610</v>
      </c>
      <c r="B579" s="81">
        <v>1.55</v>
      </c>
      <c r="C579" s="81">
        <v>0.873</v>
      </c>
      <c r="D579" s="83">
        <f t="shared" si="4"/>
        <v>0</v>
      </c>
      <c r="E579" s="81">
        <f>3.8*0.55</f>
        <v>2.09</v>
      </c>
      <c r="F579" s="81">
        <v>1.72</v>
      </c>
      <c r="G579" s="81">
        <v>1.68</v>
      </c>
      <c r="H579" s="81">
        <v>1.57</v>
      </c>
      <c r="I579" s="81">
        <v>3.08</v>
      </c>
      <c r="J579" s="140">
        <v>2.54</v>
      </c>
      <c r="K579" s="140">
        <v>3.12</v>
      </c>
      <c r="L579" s="81">
        <f>1.2421/0.45436</f>
        <v>2.7337353640285236</v>
      </c>
      <c r="M579" s="81">
        <f>2.95*0.55</f>
        <v>1.6225000000000003</v>
      </c>
      <c r="N579" s="81">
        <f>2.7*0.5</f>
        <v>1.35</v>
      </c>
      <c r="O579" s="81">
        <f>5.09*0.6894</f>
        <v>3.5090460000000001</v>
      </c>
      <c r="P579" s="81">
        <f>5.15*0.6894</f>
        <v>3.5504100000000003</v>
      </c>
      <c r="Q579" s="120" t="s">
        <v>132</v>
      </c>
    </row>
    <row r="580" spans="1:17" ht="27.75" customHeight="1" x14ac:dyDescent="0.2">
      <c r="A580" s="119" t="s">
        <v>611</v>
      </c>
      <c r="B580" s="81">
        <v>1.52</v>
      </c>
      <c r="C580" s="81">
        <v>0.89</v>
      </c>
      <c r="D580" s="83">
        <f t="shared" si="4"/>
        <v>0</v>
      </c>
      <c r="E580" s="81">
        <f>3.68*0.55</f>
        <v>2.0240000000000005</v>
      </c>
      <c r="F580" s="81">
        <v>1.7</v>
      </c>
      <c r="G580" s="81">
        <v>1.65</v>
      </c>
      <c r="H580" s="81">
        <v>1.52</v>
      </c>
      <c r="I580" s="81">
        <v>2.98</v>
      </c>
      <c r="J580" s="140">
        <v>2.4844720496894412</v>
      </c>
      <c r="K580" s="140">
        <v>3.1175346392737699</v>
      </c>
      <c r="L580" s="81">
        <f>1.2403/0.45436</f>
        <v>2.7297737476890571</v>
      </c>
      <c r="M580" s="81">
        <f>2.95*0.55</f>
        <v>1.6225000000000003</v>
      </c>
      <c r="N580" s="81">
        <f>2.7*0.5</f>
        <v>1.35</v>
      </c>
      <c r="O580" s="81">
        <f>5.27*0.68335</f>
        <v>3.6012544999999996</v>
      </c>
      <c r="P580" s="81">
        <f>5.21*0.68335</f>
        <v>3.5602535</v>
      </c>
      <c r="Q580" s="120" t="s">
        <v>132</v>
      </c>
    </row>
    <row r="581" spans="1:17" ht="28.5" customHeight="1" x14ac:dyDescent="0.2">
      <c r="A581" s="119" t="s">
        <v>612</v>
      </c>
      <c r="B581" s="81">
        <v>1.55</v>
      </c>
      <c r="C581" s="81">
        <v>0.92</v>
      </c>
      <c r="D581" s="83">
        <f t="shared" si="4"/>
        <v>0</v>
      </c>
      <c r="E581" s="81">
        <f>3.55*0.55</f>
        <v>1.9525000000000001</v>
      </c>
      <c r="F581" s="81">
        <v>1.63</v>
      </c>
      <c r="G581" s="81">
        <v>1.61</v>
      </c>
      <c r="H581" s="81">
        <v>1.5</v>
      </c>
      <c r="I581" s="81">
        <v>2.98</v>
      </c>
      <c r="J581" s="140">
        <v>3.0861300164280685</v>
      </c>
      <c r="K581" s="140">
        <v>2.499413283266839</v>
      </c>
      <c r="L581" s="81">
        <f>1.243/0.45436</f>
        <v>2.735716172198257</v>
      </c>
      <c r="M581" s="81">
        <f>2.9*0.55</f>
        <v>1.595</v>
      </c>
      <c r="N581" s="81">
        <f>2.65*0.5</f>
        <v>1.325</v>
      </c>
      <c r="O581" s="81">
        <f>5.43*0.6707</f>
        <v>3.6419009999999994</v>
      </c>
      <c r="P581" s="81">
        <f>5.65*0.6707</f>
        <v>3.7894550000000002</v>
      </c>
      <c r="Q581" s="120">
        <f>5.04*0.652</f>
        <v>3.2860800000000001</v>
      </c>
    </row>
    <row r="582" spans="1:17" ht="30" customHeight="1" x14ac:dyDescent="0.2">
      <c r="A582" s="119" t="s">
        <v>613</v>
      </c>
      <c r="B582" s="81">
        <v>1.54</v>
      </c>
      <c r="C582" s="81">
        <v>0.91</v>
      </c>
      <c r="D582" s="83">
        <f t="shared" si="4"/>
        <v>0</v>
      </c>
      <c r="E582" s="81">
        <f>3.5*0.55</f>
        <v>1.9250000000000003</v>
      </c>
      <c r="F582" s="81">
        <v>1.63</v>
      </c>
      <c r="G582" s="81">
        <v>1.59</v>
      </c>
      <c r="H582" s="81">
        <v>1.42</v>
      </c>
      <c r="I582" s="81">
        <v>3.03</v>
      </c>
      <c r="J582" s="140">
        <v>2.9398148148148144</v>
      </c>
      <c r="K582" s="140">
        <v>3.3912037037037037</v>
      </c>
      <c r="L582" s="81">
        <f>1.2204/0.45436</f>
        <v>2.6859758781582883</v>
      </c>
      <c r="M582" s="81">
        <f>2.9*0.55</f>
        <v>1.595</v>
      </c>
      <c r="N582" s="81">
        <f>2.7*0.5</f>
        <v>1.35</v>
      </c>
      <c r="O582" s="81">
        <f>5.56*0.6731</f>
        <v>3.7424360000000001</v>
      </c>
      <c r="P582" s="81">
        <f>5.69*0.6731</f>
        <v>3.8299390000000004</v>
      </c>
      <c r="Q582" s="120">
        <f>5*0.646</f>
        <v>3.23</v>
      </c>
    </row>
    <row r="583" spans="1:17" ht="27.75" customHeight="1" x14ac:dyDescent="0.2">
      <c r="A583" s="119" t="s">
        <v>615</v>
      </c>
      <c r="B583" s="81">
        <v>1.57</v>
      </c>
      <c r="C583" s="81">
        <v>0.89400000000000002</v>
      </c>
      <c r="D583" s="83">
        <f t="shared" si="4"/>
        <v>0</v>
      </c>
      <c r="E583" s="81">
        <f>3.48*0.55</f>
        <v>1.9140000000000001</v>
      </c>
      <c r="F583" s="81">
        <v>1.62</v>
      </c>
      <c r="G583" s="81">
        <v>1.56</v>
      </c>
      <c r="H583" s="81">
        <v>1.41</v>
      </c>
      <c r="I583" s="81">
        <v>3.07</v>
      </c>
      <c r="J583" s="140">
        <v>2.8953488372093021</v>
      </c>
      <c r="K583" s="140">
        <v>3.4069767441860468</v>
      </c>
      <c r="L583" s="81">
        <f>1.2105/0.45436</f>
        <v>2.6641869882912226</v>
      </c>
      <c r="M583" s="81">
        <f>2.95*0.55</f>
        <v>1.6225000000000003</v>
      </c>
      <c r="N583" s="81">
        <f>2.65*0.5</f>
        <v>1.325</v>
      </c>
      <c r="O583" s="81">
        <f>5.9*0.6724</f>
        <v>3.9671600000000002</v>
      </c>
      <c r="P583" s="81">
        <f>6.08*0.6724</f>
        <v>4.0881920000000003</v>
      </c>
      <c r="Q583" s="120">
        <f>4.72*0.645</f>
        <v>3.0444</v>
      </c>
    </row>
    <row r="584" spans="1:17" ht="30" customHeight="1" x14ac:dyDescent="0.2">
      <c r="A584" s="121" t="s">
        <v>614</v>
      </c>
      <c r="B584" s="122">
        <v>1.59</v>
      </c>
      <c r="C584" s="122">
        <v>0.91400000000000003</v>
      </c>
      <c r="D584" s="123">
        <f t="shared" si="4"/>
        <v>0</v>
      </c>
      <c r="E584" s="122">
        <f>3.5*0.55</f>
        <v>1.9250000000000003</v>
      </c>
      <c r="F584" s="122">
        <v>1.64</v>
      </c>
      <c r="G584" s="122">
        <v>1.55</v>
      </c>
      <c r="H584" s="122">
        <v>1.43</v>
      </c>
      <c r="I584" s="122">
        <v>3.03</v>
      </c>
      <c r="J584" s="141">
        <v>2.7272727272727271</v>
      </c>
      <c r="K584" s="141">
        <v>3.2386363636363633</v>
      </c>
      <c r="L584" s="122">
        <f>1.189/0.45436</f>
        <v>2.616867682014262</v>
      </c>
      <c r="M584" s="122">
        <f>2.95*0.55</f>
        <v>1.6225000000000003</v>
      </c>
      <c r="N584" s="122">
        <f>2.65*0.5</f>
        <v>1.325</v>
      </c>
      <c r="O584" s="122">
        <f>6.25*0.6626</f>
        <v>4.1412499999999994</v>
      </c>
      <c r="P584" s="122">
        <f>6.2*0.6626</f>
        <v>4.1081199999999995</v>
      </c>
      <c r="Q584" s="124">
        <f>4.56*0.639</f>
        <v>2.91384</v>
      </c>
    </row>
    <row r="585" spans="1:17" ht="35.25" customHeight="1" x14ac:dyDescent="0.2">
      <c r="A585" s="121" t="s">
        <v>616</v>
      </c>
      <c r="B585" s="122">
        <v>1.6</v>
      </c>
      <c r="C585" s="122">
        <v>0.86370629370629359</v>
      </c>
      <c r="D585" s="123">
        <f t="shared" si="4"/>
        <v>0</v>
      </c>
      <c r="E585" s="122">
        <f>3.5*0.55</f>
        <v>1.9250000000000003</v>
      </c>
      <c r="F585" s="122">
        <v>1.64</v>
      </c>
      <c r="G585" s="122">
        <v>1.54</v>
      </c>
      <c r="H585" s="122">
        <v>1.42</v>
      </c>
      <c r="I585" s="122">
        <v>2.9866962305986697</v>
      </c>
      <c r="J585" s="141">
        <v>2.5277161862527717</v>
      </c>
      <c r="K585" s="141">
        <v>3.1152993348115303</v>
      </c>
      <c r="L585" s="122">
        <f>1.1971/0.45436</f>
        <v>2.6346949555418613</v>
      </c>
      <c r="M585" s="122">
        <f>2.95*0.55</f>
        <v>1.6225000000000003</v>
      </c>
      <c r="N585" s="122">
        <f>2.7*0.5</f>
        <v>1.35</v>
      </c>
      <c r="O585" s="122">
        <f>6.15*0.658</f>
        <v>4.0467000000000004</v>
      </c>
      <c r="P585" s="122">
        <f>6.27*0.658</f>
        <v>4.1256599999999999</v>
      </c>
      <c r="Q585" s="124">
        <f>4.54*0.6317</f>
        <v>2.8679180000000004</v>
      </c>
    </row>
    <row r="586" spans="1:17" ht="31.5" customHeight="1" x14ac:dyDescent="0.2">
      <c r="A586" s="121" t="s">
        <v>617</v>
      </c>
      <c r="B586" s="122">
        <v>1.6</v>
      </c>
      <c r="C586" s="122">
        <v>0.87841145833333345</v>
      </c>
      <c r="D586" s="123">
        <f t="shared" si="4"/>
        <v>0</v>
      </c>
      <c r="E586" s="122">
        <f>3.45*0.55</f>
        <v>1.8975000000000002</v>
      </c>
      <c r="F586" s="122">
        <v>1.62</v>
      </c>
      <c r="G586" s="122">
        <v>1.48</v>
      </c>
      <c r="H586" s="122">
        <v>1.37</v>
      </c>
      <c r="I586" s="122">
        <v>2.92</v>
      </c>
      <c r="J586" s="141">
        <v>2.5099999999999998</v>
      </c>
      <c r="K586" s="141">
        <v>3.08</v>
      </c>
      <c r="L586" s="122">
        <f>1.14851/0.45436</f>
        <v>2.5277533233559293</v>
      </c>
      <c r="M586" s="122">
        <f>2.9*0.55</f>
        <v>1.595</v>
      </c>
      <c r="N586" s="122">
        <f>2.6*0.5</f>
        <v>1.3</v>
      </c>
      <c r="O586" s="122">
        <f>6.39*0.6617</f>
        <v>4.2282629999999992</v>
      </c>
      <c r="P586" s="122">
        <f>6.15*0.6617</f>
        <v>4.0694549999999996</v>
      </c>
      <c r="Q586" s="124">
        <f>4.46*0.6309</f>
        <v>2.8138140000000003</v>
      </c>
    </row>
    <row r="587" spans="1:17" ht="30.75" customHeight="1" x14ac:dyDescent="0.2">
      <c r="A587" s="121" t="s">
        <v>618</v>
      </c>
      <c r="B587" s="122">
        <v>1.6</v>
      </c>
      <c r="C587" s="122">
        <v>0.90900000000000003</v>
      </c>
      <c r="D587" s="123">
        <f t="shared" si="4"/>
        <v>0</v>
      </c>
      <c r="E587" s="122">
        <f>3.5*0.55</f>
        <v>1.9250000000000003</v>
      </c>
      <c r="F587" s="122">
        <v>1.62</v>
      </c>
      <c r="G587" s="122">
        <v>1.43</v>
      </c>
      <c r="H587" s="122">
        <v>1.3</v>
      </c>
      <c r="I587" s="122">
        <v>2.82</v>
      </c>
      <c r="J587" s="141">
        <v>2.3325730872900681</v>
      </c>
      <c r="K587" s="141">
        <v>3.1204644412191582</v>
      </c>
      <c r="L587" s="122">
        <f>1.1317/0.45436</f>
        <v>2.4907562285412448</v>
      </c>
      <c r="M587" s="122">
        <f>2.75*0.55</f>
        <v>1.5125000000000002</v>
      </c>
      <c r="N587" s="122">
        <f>2.5*0.5</f>
        <v>1.25</v>
      </c>
      <c r="O587" s="122">
        <f>6.48*0.6274</f>
        <v>4.0655520000000003</v>
      </c>
      <c r="P587" s="122">
        <f>6.41*0.6274</f>
        <v>4.0216339999999997</v>
      </c>
      <c r="Q587" s="124">
        <f>4.42*0.6114</f>
        <v>2.702388</v>
      </c>
    </row>
    <row r="588" spans="1:17" ht="29.25" customHeight="1" x14ac:dyDescent="0.2">
      <c r="A588" s="121" t="s">
        <v>619</v>
      </c>
      <c r="B588" s="122">
        <v>1.53</v>
      </c>
      <c r="C588" s="122">
        <v>0.83799999999999997</v>
      </c>
      <c r="D588" s="123">
        <f t="shared" si="4"/>
        <v>0</v>
      </c>
      <c r="E588" s="122">
        <f>3.4*0.55</f>
        <v>1.87</v>
      </c>
      <c r="F588" s="122" t="s">
        <v>620</v>
      </c>
      <c r="G588" s="122">
        <v>1.29</v>
      </c>
      <c r="H588" s="122">
        <v>1.18</v>
      </c>
      <c r="I588" s="122">
        <v>2.5099999999999998</v>
      </c>
      <c r="J588" s="141">
        <v>2.2410358565737054</v>
      </c>
      <c r="K588" s="141">
        <v>2.9980079681274905</v>
      </c>
      <c r="L588" s="122">
        <f>1.0884/0.45436</f>
        <v>2.3954573465974121</v>
      </c>
      <c r="M588" s="122">
        <f>2.7*0.55</f>
        <v>1.4850000000000003</v>
      </c>
      <c r="N588" s="122">
        <f>2.4*0.5</f>
        <v>1.2</v>
      </c>
      <c r="O588" s="122">
        <f>6.7*0.5816</f>
        <v>3.8967200000000002</v>
      </c>
      <c r="P588" s="122">
        <f>6.5*0.5816</f>
        <v>3.7804000000000002</v>
      </c>
      <c r="Q588" s="124">
        <f>4.42*0.57</f>
        <v>2.5193999999999996</v>
      </c>
    </row>
    <row r="589" spans="1:17" ht="24.75" customHeight="1" x14ac:dyDescent="0.2">
      <c r="A589" s="121" t="s">
        <v>621</v>
      </c>
      <c r="B589" s="122" t="s">
        <v>620</v>
      </c>
      <c r="C589" s="122" t="s">
        <v>620</v>
      </c>
      <c r="D589" s="123">
        <f t="shared" si="4"/>
        <v>0</v>
      </c>
      <c r="E589" s="122" t="s">
        <v>620</v>
      </c>
      <c r="F589" s="122" t="s">
        <v>620</v>
      </c>
      <c r="G589" s="122">
        <v>1.25</v>
      </c>
      <c r="H589" s="122">
        <v>1.1599999999999999</v>
      </c>
      <c r="I589" s="122">
        <v>2.64</v>
      </c>
      <c r="J589" s="141">
        <v>2.2143139580861999</v>
      </c>
      <c r="K589" s="141">
        <v>3.0446816923685254</v>
      </c>
      <c r="L589" s="122">
        <f>1.0989/0.45436</f>
        <v>2.4185667752442996</v>
      </c>
      <c r="M589" s="122" t="s">
        <v>620</v>
      </c>
      <c r="N589" s="122" t="s">
        <v>620</v>
      </c>
      <c r="O589" s="122">
        <f>6.48*0.5816</f>
        <v>3.7687680000000001</v>
      </c>
      <c r="P589" s="122">
        <f>6.26*0.5816</f>
        <v>3.6408160000000001</v>
      </c>
      <c r="Q589" s="124">
        <f>4.42*0.578</f>
        <v>2.5547599999999999</v>
      </c>
    </row>
    <row r="590" spans="1:17" ht="28.5" customHeight="1" x14ac:dyDescent="0.2">
      <c r="A590" s="125" t="s">
        <v>622</v>
      </c>
      <c r="B590" s="81">
        <v>1.49</v>
      </c>
      <c r="C590" s="81">
        <v>0.86</v>
      </c>
      <c r="D590" s="83">
        <f t="shared" si="4"/>
        <v>0</v>
      </c>
      <c r="E590" s="81">
        <f>2.97*0.55</f>
        <v>1.6335000000000002</v>
      </c>
      <c r="F590" s="81">
        <v>1.41</v>
      </c>
      <c r="G590" s="81">
        <v>1.24</v>
      </c>
      <c r="H590" s="81">
        <v>1.1499999999999999</v>
      </c>
      <c r="I590" s="81">
        <v>2.4700000000000002</v>
      </c>
      <c r="J590" s="140">
        <v>2.1334586466165413</v>
      </c>
      <c r="K590" s="140">
        <v>2.8665413533834583</v>
      </c>
      <c r="L590" s="81">
        <f>1.1931/0.45436</f>
        <v>2.6258913636763803</v>
      </c>
      <c r="M590" s="81">
        <f>2.2*0.55</f>
        <v>1.2100000000000002</v>
      </c>
      <c r="N590" s="81">
        <f>2*0.5</f>
        <v>1</v>
      </c>
      <c r="O590" s="81" t="s">
        <v>132</v>
      </c>
      <c r="P590" s="81" t="s">
        <v>132</v>
      </c>
      <c r="Q590" s="81">
        <f>4.42*0.5922</f>
        <v>2.6175239999999995</v>
      </c>
    </row>
    <row r="591" spans="1:17" ht="27" customHeight="1" x14ac:dyDescent="0.2">
      <c r="A591" s="125" t="s">
        <v>623</v>
      </c>
      <c r="B591" s="81">
        <v>1.45</v>
      </c>
      <c r="C591" s="81">
        <v>0.84499999999999997</v>
      </c>
      <c r="D591" s="83">
        <f t="shared" si="4"/>
        <v>0</v>
      </c>
      <c r="E591" s="81">
        <f>3*0.55</f>
        <v>1.6500000000000001</v>
      </c>
      <c r="F591" s="81">
        <v>1.44</v>
      </c>
      <c r="G591" s="81">
        <v>1.23</v>
      </c>
      <c r="H591" s="81">
        <v>1.1499999999999999</v>
      </c>
      <c r="I591" s="81">
        <v>2.59</v>
      </c>
      <c r="J591" s="140">
        <v>2.2034556396816152</v>
      </c>
      <c r="K591" s="140">
        <v>2.9605901766647253</v>
      </c>
      <c r="L591" s="81">
        <f>1.111/0.45436</f>
        <v>2.4451976406373799</v>
      </c>
      <c r="M591" s="81">
        <f>2.2*0.55</f>
        <v>1.2100000000000002</v>
      </c>
      <c r="N591" s="81">
        <f>2*0.5</f>
        <v>1</v>
      </c>
      <c r="O591" s="81" t="s">
        <v>132</v>
      </c>
      <c r="P591" s="81" t="s">
        <v>132</v>
      </c>
      <c r="Q591" s="81">
        <f>4.4*0.608</f>
        <v>2.6752000000000002</v>
      </c>
    </row>
    <row r="592" spans="1:17" ht="28.5" customHeight="1" x14ac:dyDescent="0.2">
      <c r="A592" s="125" t="s">
        <v>624</v>
      </c>
      <c r="B592" s="81">
        <v>1.43</v>
      </c>
      <c r="C592" s="81">
        <v>0.87</v>
      </c>
      <c r="D592" s="83">
        <f t="shared" si="4"/>
        <v>0</v>
      </c>
      <c r="E592" s="81">
        <f>3.1*0.55</f>
        <v>1.7050000000000003</v>
      </c>
      <c r="F592" s="81">
        <v>1.47</v>
      </c>
      <c r="G592" s="81">
        <v>1.22</v>
      </c>
      <c r="H592" s="81">
        <v>1.1599999999999999</v>
      </c>
      <c r="I592" s="81">
        <v>2.5299999999999998</v>
      </c>
      <c r="J592" s="140">
        <v>2.2190476190476192</v>
      </c>
      <c r="K592" s="140">
        <v>2.8</v>
      </c>
      <c r="L592" s="81">
        <f>1.05/0.45436</f>
        <v>2.3109428646887933</v>
      </c>
      <c r="M592" s="81">
        <f>2.2*0.55</f>
        <v>1.2100000000000002</v>
      </c>
      <c r="N592" s="81">
        <f>2*0.5</f>
        <v>1</v>
      </c>
      <c r="O592" s="81" t="s">
        <v>132</v>
      </c>
      <c r="P592" s="81" t="s">
        <v>132</v>
      </c>
      <c r="Q592" s="81">
        <f>4.4*0.5956</f>
        <v>2.6206400000000003</v>
      </c>
    </row>
    <row r="593" spans="1:17" ht="27" customHeight="1" x14ac:dyDescent="0.2">
      <c r="A593" s="125" t="s">
        <v>625</v>
      </c>
      <c r="B593" s="81">
        <v>1.41</v>
      </c>
      <c r="C593" s="81">
        <v>0.83499999999999996</v>
      </c>
      <c r="D593" s="83">
        <f t="shared" si="4"/>
        <v>0</v>
      </c>
      <c r="E593" s="81">
        <f>3.2*0.55</f>
        <v>1.7600000000000002</v>
      </c>
      <c r="F593" s="81">
        <v>1.5</v>
      </c>
      <c r="G593" s="81">
        <v>1.19</v>
      </c>
      <c r="H593" s="81">
        <v>1.1100000000000001</v>
      </c>
      <c r="I593" s="81">
        <v>2.2799999999999998</v>
      </c>
      <c r="J593" s="140">
        <v>2.09</v>
      </c>
      <c r="K593" s="140">
        <v>2.5</v>
      </c>
      <c r="L593" s="81">
        <f>1.0228/0.45436</f>
        <v>2.2510784400035213</v>
      </c>
      <c r="M593" s="81">
        <f>2.2*0.55</f>
        <v>1.2100000000000002</v>
      </c>
      <c r="N593" s="81">
        <f>2*0.5</f>
        <v>1</v>
      </c>
      <c r="O593" s="81" t="s">
        <v>132</v>
      </c>
      <c r="P593" s="81" t="s">
        <v>132</v>
      </c>
      <c r="Q593" s="81">
        <f>4.4*0.601</f>
        <v>2.6444000000000001</v>
      </c>
    </row>
    <row r="594" spans="1:17" ht="27" customHeight="1" x14ac:dyDescent="0.2">
      <c r="A594" s="125" t="s">
        <v>626</v>
      </c>
      <c r="B594" s="81">
        <v>1.4</v>
      </c>
      <c r="C594" s="81">
        <v>0.85</v>
      </c>
      <c r="D594" s="83">
        <f t="shared" si="4"/>
        <v>0</v>
      </c>
      <c r="E594" s="81">
        <f t="shared" ref="E594:E599" si="6">3.15*0.55</f>
        <v>1.7325000000000002</v>
      </c>
      <c r="F594" s="81">
        <v>1.48</v>
      </c>
      <c r="G594" s="81">
        <v>1.1499999999999999</v>
      </c>
      <c r="H594" s="81">
        <v>1.07</v>
      </c>
      <c r="I594" s="81">
        <v>2.4300000000000002</v>
      </c>
      <c r="J594" s="140">
        <v>2.2000000000000002</v>
      </c>
      <c r="K594" s="140">
        <v>2.62</v>
      </c>
      <c r="L594" s="81">
        <f>0.9669/0.45436</f>
        <v>2.1280482436834229</v>
      </c>
      <c r="M594" s="81">
        <f>2.2*0.55</f>
        <v>1.2100000000000002</v>
      </c>
      <c r="N594" s="81">
        <f>2*0.5</f>
        <v>1</v>
      </c>
      <c r="O594" s="126" t="s">
        <v>132</v>
      </c>
      <c r="P594" s="126" t="s">
        <v>132</v>
      </c>
      <c r="Q594" s="81">
        <f>4.42*0.6143</f>
        <v>2.7152059999999998</v>
      </c>
    </row>
    <row r="595" spans="1:17" ht="24.75" customHeight="1" x14ac:dyDescent="0.2">
      <c r="A595" s="125" t="s">
        <v>627</v>
      </c>
      <c r="B595" s="81">
        <v>1.4</v>
      </c>
      <c r="C595" s="81">
        <v>0.85</v>
      </c>
      <c r="D595" s="83">
        <f t="shared" si="4"/>
        <v>0</v>
      </c>
      <c r="E595" s="81">
        <f t="shared" si="6"/>
        <v>1.7325000000000002</v>
      </c>
      <c r="F595" s="81">
        <v>1.48</v>
      </c>
      <c r="G595" s="81">
        <v>1.1399999999999999</v>
      </c>
      <c r="H595" s="81">
        <v>1.1399999999999999</v>
      </c>
      <c r="I595" s="81">
        <v>2.2999999999999998</v>
      </c>
      <c r="J595" s="140">
        <v>2.08</v>
      </c>
      <c r="K595" s="140">
        <v>2.4700000000000002</v>
      </c>
      <c r="L595" s="81">
        <f>0.9853/0.45436</f>
        <v>2.168544766264636</v>
      </c>
      <c r="M595" s="81">
        <f>2*0.55</f>
        <v>1.1000000000000001</v>
      </c>
      <c r="N595" s="81">
        <f>1.8*0.5</f>
        <v>0.9</v>
      </c>
      <c r="O595" s="126" t="s">
        <v>132</v>
      </c>
      <c r="P595" s="126" t="s">
        <v>132</v>
      </c>
      <c r="Q595" s="81">
        <f>4.44*0.6082</f>
        <v>2.7004079999999999</v>
      </c>
    </row>
    <row r="596" spans="1:17" ht="22.5" customHeight="1" x14ac:dyDescent="0.2">
      <c r="A596" s="125" t="s">
        <v>628</v>
      </c>
      <c r="B596" s="81">
        <v>1.41</v>
      </c>
      <c r="C596" s="81">
        <v>0.8</v>
      </c>
      <c r="D596" s="83">
        <f t="shared" si="4"/>
        <v>0</v>
      </c>
      <c r="E596" s="81">
        <f t="shared" si="6"/>
        <v>1.7325000000000002</v>
      </c>
      <c r="F596" s="81">
        <v>1.48</v>
      </c>
      <c r="G596" s="81">
        <v>1.06</v>
      </c>
      <c r="H596" s="81">
        <v>1.01</v>
      </c>
      <c r="I596" s="81">
        <v>2.2799999999999998</v>
      </c>
      <c r="J596" s="140">
        <v>2.0703259005145798</v>
      </c>
      <c r="K596" s="140">
        <v>2.4219554030874786</v>
      </c>
      <c r="L596" s="81">
        <f>1.045/0.45436</f>
        <v>2.2999383748569415</v>
      </c>
      <c r="M596" s="81">
        <f>2*0.55</f>
        <v>1.1000000000000001</v>
      </c>
      <c r="N596" s="81">
        <f>1.8*0.5</f>
        <v>0.9</v>
      </c>
      <c r="O596" s="126" t="s">
        <v>132</v>
      </c>
      <c r="P596" s="126" t="s">
        <v>132</v>
      </c>
      <c r="Q596" s="81">
        <f>4.5*0.593</f>
        <v>2.6684999999999999</v>
      </c>
    </row>
    <row r="597" spans="1:17" ht="22.5" customHeight="1" x14ac:dyDescent="0.2">
      <c r="A597" s="125" t="s">
        <v>629</v>
      </c>
      <c r="B597" s="81">
        <v>1.4</v>
      </c>
      <c r="C597" s="81">
        <v>0.78</v>
      </c>
      <c r="D597" s="83">
        <f t="shared" si="4"/>
        <v>0</v>
      </c>
      <c r="E597" s="81">
        <f t="shared" si="6"/>
        <v>1.7325000000000002</v>
      </c>
      <c r="F597" s="81">
        <v>1.48</v>
      </c>
      <c r="G597" s="81">
        <v>1.08</v>
      </c>
      <c r="H597" s="81">
        <v>1.03</v>
      </c>
      <c r="I597" s="81">
        <v>2.4</v>
      </c>
      <c r="J597" s="140">
        <v>2.1707929673484032</v>
      </c>
      <c r="K597" s="140">
        <v>2.5385719411553644</v>
      </c>
      <c r="L597" s="81">
        <f>1.1231/0.45436</f>
        <v>2.4718285060304606</v>
      </c>
      <c r="M597" s="81">
        <f>2.05*0.55</f>
        <v>1.1274999999999999</v>
      </c>
      <c r="N597" s="81">
        <f>1.8*0.5</f>
        <v>0.9</v>
      </c>
      <c r="O597" s="126" t="s">
        <v>132</v>
      </c>
      <c r="P597" s="126" t="s">
        <v>132</v>
      </c>
      <c r="Q597" s="81">
        <f>4.505*0.6116</f>
        <v>2.755258</v>
      </c>
    </row>
    <row r="598" spans="1:17" ht="24" customHeight="1" x14ac:dyDescent="0.2">
      <c r="A598" s="125" t="s">
        <v>630</v>
      </c>
      <c r="B598" s="81">
        <v>1.4</v>
      </c>
      <c r="C598" s="81">
        <v>0.78800000000000003</v>
      </c>
      <c r="D598" s="83">
        <f t="shared" si="4"/>
        <v>0</v>
      </c>
      <c r="E598" s="81">
        <f t="shared" si="6"/>
        <v>1.7325000000000002</v>
      </c>
      <c r="F598" s="81">
        <v>1.48</v>
      </c>
      <c r="G598" s="81">
        <v>1.18</v>
      </c>
      <c r="H598" s="81">
        <v>1.1200000000000001</v>
      </c>
      <c r="I598" s="81">
        <v>2.5299999999999998</v>
      </c>
      <c r="J598" s="140">
        <v>2.2481343283582089</v>
      </c>
      <c r="K598" s="140">
        <v>2.6026119402985071</v>
      </c>
      <c r="L598" s="81">
        <f>1.1706/0.45436</f>
        <v>2.576371159433049</v>
      </c>
      <c r="M598" s="81">
        <f>2.05*0.55</f>
        <v>1.1274999999999999</v>
      </c>
      <c r="N598" s="81">
        <f>1.8*0.5</f>
        <v>0.9</v>
      </c>
      <c r="O598" s="126" t="s">
        <v>132</v>
      </c>
      <c r="P598" s="126" t="s">
        <v>132</v>
      </c>
      <c r="Q598" s="81">
        <f>4.556*0.6181</f>
        <v>2.8160636000000001</v>
      </c>
    </row>
    <row r="599" spans="1:17" ht="22.5" customHeight="1" x14ac:dyDescent="0.2">
      <c r="A599" s="125" t="s">
        <v>631</v>
      </c>
      <c r="B599" s="81">
        <v>1.4</v>
      </c>
      <c r="C599" s="81">
        <v>0.77</v>
      </c>
      <c r="D599" s="83">
        <f t="shared" si="4"/>
        <v>0</v>
      </c>
      <c r="E599" s="81">
        <f t="shared" si="6"/>
        <v>1.7325000000000002</v>
      </c>
      <c r="F599" s="81">
        <v>1.48</v>
      </c>
      <c r="G599" s="81">
        <v>1.21</v>
      </c>
      <c r="H599" s="81">
        <v>1.1499999999999999</v>
      </c>
      <c r="I599" s="81">
        <v>2.73</v>
      </c>
      <c r="J599" s="140">
        <v>2.4500000000000002</v>
      </c>
      <c r="K599" s="140">
        <v>2.83</v>
      </c>
      <c r="L599" s="81">
        <f>1.1571/0.45436</f>
        <v>2.5466590368870499</v>
      </c>
      <c r="M599" s="81">
        <f>2.05*0.55</f>
        <v>1.1274999999999999</v>
      </c>
      <c r="N599" s="81">
        <f>1.8*0.5</f>
        <v>0.9</v>
      </c>
      <c r="O599" s="126" t="s">
        <v>132</v>
      </c>
      <c r="P599" s="126" t="s">
        <v>132</v>
      </c>
      <c r="Q599" s="81">
        <f>4.7*0.65</f>
        <v>3.0550000000000002</v>
      </c>
    </row>
    <row r="600" spans="1:17" ht="27" customHeight="1" x14ac:dyDescent="0.2">
      <c r="A600" s="125" t="s">
        <v>632</v>
      </c>
      <c r="B600" s="81">
        <v>1.38</v>
      </c>
      <c r="C600" s="81">
        <v>0.76</v>
      </c>
      <c r="D600" s="83">
        <f t="shared" si="4"/>
        <v>0</v>
      </c>
      <c r="E600" s="81">
        <f>3.18*0.55</f>
        <v>1.7490000000000003</v>
      </c>
      <c r="F600" s="81">
        <v>1.49</v>
      </c>
      <c r="G600" s="81">
        <v>1.37</v>
      </c>
      <c r="H600" s="81">
        <v>1.3</v>
      </c>
      <c r="I600" s="81">
        <v>2.7</v>
      </c>
      <c r="J600" s="140">
        <v>2.41</v>
      </c>
      <c r="K600" s="140">
        <v>2.78</v>
      </c>
      <c r="L600" s="81">
        <f>1.1239/0.45436</f>
        <v>2.4735892244035567</v>
      </c>
      <c r="M600" s="81">
        <f>2.15*0.55</f>
        <v>1.1825000000000001</v>
      </c>
      <c r="N600" s="81">
        <f>1.9*0.5</f>
        <v>0.95</v>
      </c>
      <c r="O600" s="81">
        <f>6.75*0.6847</f>
        <v>4.6217249999999996</v>
      </c>
      <c r="P600" s="81">
        <f>6.53*0.6847</f>
        <v>4.4710910000000004</v>
      </c>
      <c r="Q600" s="81">
        <f>4.7*0.6424</f>
        <v>3.0192800000000002</v>
      </c>
    </row>
    <row r="601" spans="1:17" ht="27" customHeight="1" x14ac:dyDescent="0.2">
      <c r="A601" s="125" t="s">
        <v>633</v>
      </c>
      <c r="B601" s="81">
        <v>1.45</v>
      </c>
      <c r="C601" s="81">
        <v>0.77</v>
      </c>
      <c r="D601" s="83">
        <f t="shared" si="4"/>
        <v>0</v>
      </c>
      <c r="E601" s="81">
        <f>3.22*0.55</f>
        <v>1.7710000000000004</v>
      </c>
      <c r="F601" s="81">
        <v>1.51</v>
      </c>
      <c r="G601" s="81">
        <v>1.3</v>
      </c>
      <c r="H601" s="81">
        <v>1.22</v>
      </c>
      <c r="I601" s="81">
        <v>2.66</v>
      </c>
      <c r="J601" s="140">
        <v>2.3590225563909772</v>
      </c>
      <c r="K601" s="140">
        <v>2.7537593984962405</v>
      </c>
      <c r="L601" s="81">
        <f>1.0447/0.45436</f>
        <v>2.2992781054670304</v>
      </c>
      <c r="M601" s="81">
        <f>2.25*0.55</f>
        <v>1.2375</v>
      </c>
      <c r="N601" s="81">
        <f>2.05*0.5</f>
        <v>1.0249999999999999</v>
      </c>
      <c r="O601" s="81">
        <f>6.94*0.6846</f>
        <v>4.7511239999999999</v>
      </c>
      <c r="P601" s="81">
        <f>6.53*0.6846</f>
        <v>4.4704379999999997</v>
      </c>
      <c r="Q601" s="81">
        <f>4.71*0.6425</f>
        <v>3.0261749999999998</v>
      </c>
    </row>
    <row r="602" spans="1:17" ht="21.75" customHeight="1" x14ac:dyDescent="0.2">
      <c r="A602" s="125" t="s">
        <v>634</v>
      </c>
      <c r="B602" s="81">
        <v>1.44</v>
      </c>
      <c r="C602" s="81">
        <v>0.78</v>
      </c>
      <c r="D602" s="83">
        <f t="shared" si="4"/>
        <v>0</v>
      </c>
      <c r="E602" s="81">
        <f>3.23*0.55</f>
        <v>1.7765000000000002</v>
      </c>
      <c r="F602" s="81">
        <v>1.51</v>
      </c>
      <c r="G602" s="81">
        <v>1.44</v>
      </c>
      <c r="H602" s="81">
        <v>1.34</v>
      </c>
      <c r="I602" s="81">
        <v>2.72</v>
      </c>
      <c r="J602" s="140">
        <v>2.3666416228399698</v>
      </c>
      <c r="K602" s="140">
        <v>2.8080390683696468</v>
      </c>
      <c r="L602" s="81">
        <f>1.0078/0.45436</f>
        <v>2.2180649705079674</v>
      </c>
      <c r="M602" s="81">
        <f>2.33*0.55</f>
        <v>1.2815000000000001</v>
      </c>
      <c r="N602" s="81">
        <f>2.1*0.5</f>
        <v>1.05</v>
      </c>
      <c r="O602" s="81">
        <f>6.99*0.6879</f>
        <v>4.8084210000000001</v>
      </c>
      <c r="P602" s="81">
        <f>6.99*0.6879</f>
        <v>4.8084210000000001</v>
      </c>
      <c r="Q602" s="81">
        <f>4.79*0.6427</f>
        <v>3.0785330000000002</v>
      </c>
    </row>
    <row r="603" spans="1:17" ht="28.5" customHeight="1" x14ac:dyDescent="0.2">
      <c r="A603" s="125" t="s">
        <v>635</v>
      </c>
      <c r="B603" s="81">
        <v>1.46</v>
      </c>
      <c r="C603" s="81">
        <v>0.8</v>
      </c>
      <c r="D603" s="83">
        <f t="shared" si="4"/>
        <v>0</v>
      </c>
      <c r="E603" s="81">
        <f>3.25*0.55</f>
        <v>1.7875000000000001</v>
      </c>
      <c r="F603" s="81">
        <v>1.52</v>
      </c>
      <c r="G603" s="81">
        <v>1.37</v>
      </c>
      <c r="H603" s="81">
        <v>1.3</v>
      </c>
      <c r="I603" s="81">
        <v>2.76</v>
      </c>
      <c r="J603" s="140">
        <v>2.36</v>
      </c>
      <c r="K603" s="140">
        <v>2.76</v>
      </c>
      <c r="L603" s="81">
        <f>0.9621/0.45436</f>
        <v>2.1174839334448454</v>
      </c>
      <c r="M603" s="81">
        <f>2.3*0.55</f>
        <v>1.2649999999999999</v>
      </c>
      <c r="N603" s="81">
        <f>2.15*0.5</f>
        <v>1.075</v>
      </c>
      <c r="O603" s="81">
        <f>6.88*0.6942</f>
        <v>4.7760959999999999</v>
      </c>
      <c r="P603" s="81">
        <f>6.74*0.6942</f>
        <v>4.6789080000000007</v>
      </c>
      <c r="Q603" s="81">
        <f>4.855*0.6534</f>
        <v>3.1722570000000001</v>
      </c>
    </row>
    <row r="604" spans="1:17" ht="27.75" customHeight="1" x14ac:dyDescent="0.2">
      <c r="A604" s="125" t="s">
        <v>636</v>
      </c>
      <c r="B604" s="81">
        <v>1.48</v>
      </c>
      <c r="C604" s="81">
        <v>0.8</v>
      </c>
      <c r="D604" s="83">
        <f t="shared" si="4"/>
        <v>0</v>
      </c>
      <c r="E604" s="81">
        <f>3.3*0.55</f>
        <v>1.8149999999999999</v>
      </c>
      <c r="F604" s="81">
        <v>1.54</v>
      </c>
      <c r="G604" s="81">
        <v>1.41</v>
      </c>
      <c r="H604" s="81">
        <v>1.34</v>
      </c>
      <c r="I604" s="81">
        <v>2.74</v>
      </c>
      <c r="J604" s="140">
        <v>2.36</v>
      </c>
      <c r="K604" s="140">
        <v>2.76</v>
      </c>
      <c r="L604" s="81">
        <f>0.9487/0.45436</f>
        <v>2.0879919006954837</v>
      </c>
      <c r="M604" s="81">
        <f>2.45*0.55</f>
        <v>1.3475000000000001</v>
      </c>
      <c r="N604" s="81">
        <f>2.2*0.5</f>
        <v>1.1000000000000001</v>
      </c>
      <c r="O604" s="81">
        <f>6.85*0.6957</f>
        <v>4.7655449999999995</v>
      </c>
      <c r="P604" s="81">
        <f>6.67*0.6957</f>
        <v>4.6403189999999999</v>
      </c>
      <c r="Q604" s="81">
        <f>4.855*0.6579</f>
        <v>3.1941045000000003</v>
      </c>
    </row>
    <row r="605" spans="1:17" ht="27.75" customHeight="1" x14ac:dyDescent="0.2">
      <c r="A605" s="125" t="s">
        <v>637</v>
      </c>
      <c r="B605" s="81">
        <v>1.53</v>
      </c>
      <c r="C605" s="81">
        <v>0.78</v>
      </c>
      <c r="D605" s="83">
        <f t="shared" si="4"/>
        <v>0</v>
      </c>
      <c r="E605" s="81">
        <f>3.35*0.55</f>
        <v>1.8425000000000002</v>
      </c>
      <c r="F605" s="81">
        <v>1.58</v>
      </c>
      <c r="G605" s="81">
        <v>1.42</v>
      </c>
      <c r="H605" s="81">
        <v>1.34</v>
      </c>
      <c r="I605" s="81">
        <v>2.75</v>
      </c>
      <c r="J605" s="140">
        <v>2.35</v>
      </c>
      <c r="K605" s="140">
        <v>2.75</v>
      </c>
      <c r="L605" s="81">
        <f>0.9598/0.45436</f>
        <v>2.112421868122194</v>
      </c>
      <c r="M605" s="81">
        <f>2.45*0.55</f>
        <v>1.3475000000000001</v>
      </c>
      <c r="N605" s="81">
        <f>2.15*0.5</f>
        <v>1.075</v>
      </c>
      <c r="O605" s="81">
        <f>6.57*0.6969</f>
        <v>4.578633</v>
      </c>
      <c r="P605" s="81">
        <f>6.47*0.6969</f>
        <v>4.5089429999999995</v>
      </c>
      <c r="Q605" s="81">
        <f>4.872*0.6531</f>
        <v>3.1819031999999998</v>
      </c>
    </row>
    <row r="606" spans="1:17" ht="25.5" customHeight="1" x14ac:dyDescent="0.2">
      <c r="A606" s="125" t="s">
        <v>638</v>
      </c>
      <c r="B606" s="81">
        <v>1.53</v>
      </c>
      <c r="C606" s="81">
        <v>0.78</v>
      </c>
      <c r="D606" s="83">
        <f t="shared" si="4"/>
        <v>0</v>
      </c>
      <c r="E606" s="81">
        <f>3.38*0.55</f>
        <v>1.859</v>
      </c>
      <c r="F606" s="81">
        <v>1.59</v>
      </c>
      <c r="G606" s="81">
        <v>1.46</v>
      </c>
      <c r="H606" s="81">
        <v>1.38</v>
      </c>
      <c r="I606" s="81">
        <v>2.82</v>
      </c>
      <c r="J606" s="140">
        <v>2.4298885900883596</v>
      </c>
      <c r="K606" s="140">
        <v>2.8428736073761045</v>
      </c>
      <c r="L606" s="81">
        <f>0.9636/0.45436</f>
        <v>2.1207852803944012</v>
      </c>
      <c r="M606" s="81">
        <f>2.5*0.55</f>
        <v>1.375</v>
      </c>
      <c r="N606" s="81">
        <f>2.2*0.5</f>
        <v>1.1000000000000001</v>
      </c>
      <c r="O606" s="81">
        <f>6.23*0.7103</f>
        <v>4.4251690000000004</v>
      </c>
      <c r="P606" s="81">
        <f>6.52*0.7103</f>
        <v>4.6311559999999998</v>
      </c>
      <c r="Q606" s="81">
        <f>4.872*0.6633</f>
        <v>3.2315975999999997</v>
      </c>
    </row>
    <row r="607" spans="1:17" ht="25.5" customHeight="1" x14ac:dyDescent="0.2">
      <c r="A607" s="125" t="s">
        <v>639</v>
      </c>
      <c r="B607" s="81">
        <v>1.55</v>
      </c>
      <c r="C607" s="81">
        <v>0.85</v>
      </c>
      <c r="D607" s="83">
        <f t="shared" si="4"/>
        <v>0</v>
      </c>
      <c r="E607" s="81">
        <f>3.4*0.55</f>
        <v>1.87</v>
      </c>
      <c r="F607" s="81">
        <v>1.61</v>
      </c>
      <c r="G607" s="81">
        <v>1.47</v>
      </c>
      <c r="H607" s="81">
        <v>1.4</v>
      </c>
      <c r="I607" s="81">
        <v>2.92</v>
      </c>
      <c r="J607" s="140">
        <v>2.4700000000000002</v>
      </c>
      <c r="K607" s="140">
        <v>2.95</v>
      </c>
      <c r="L607" s="81">
        <f>0.9724/0.45436</f>
        <v>2.1401531824984596</v>
      </c>
      <c r="M607" s="81">
        <f>2.55*0.55</f>
        <v>1.4025000000000001</v>
      </c>
      <c r="N607" s="81">
        <f>2.35*0.5</f>
        <v>1.175</v>
      </c>
      <c r="O607" s="81">
        <f>6.58*0.7187</f>
        <v>4.7290460000000003</v>
      </c>
      <c r="P607" s="81">
        <f>6.43*0.7187</f>
        <v>4.6212409999999995</v>
      </c>
      <c r="Q607" s="81">
        <f>4.872*0.6693</f>
        <v>3.2608296000000001</v>
      </c>
    </row>
    <row r="608" spans="1:17" ht="24.75" customHeight="1" x14ac:dyDescent="0.2">
      <c r="A608" s="125" t="s">
        <v>640</v>
      </c>
      <c r="B608" s="81">
        <v>1.59</v>
      </c>
      <c r="C608" s="81">
        <v>0.90800000000000003</v>
      </c>
      <c r="D608" s="83">
        <f t="shared" si="4"/>
        <v>0</v>
      </c>
      <c r="E608" s="81">
        <f>3.4*0.55</f>
        <v>1.87</v>
      </c>
      <c r="F608" s="81">
        <v>1.6</v>
      </c>
      <c r="G608" s="81">
        <v>1.32</v>
      </c>
      <c r="H608" s="81">
        <v>1.27</v>
      </c>
      <c r="I608" s="81">
        <v>2.78</v>
      </c>
      <c r="J608" s="140">
        <v>2.4493554327808473</v>
      </c>
      <c r="K608" s="140">
        <v>2.9834254143646408</v>
      </c>
      <c r="L608" s="81">
        <f>0.9866/0.45436</f>
        <v>2.1714059336209175</v>
      </c>
      <c r="M608" s="81">
        <f>2.45*0.55</f>
        <v>1.3475000000000001</v>
      </c>
      <c r="N608" s="81">
        <f>2.2*0.5</f>
        <v>1.1000000000000001</v>
      </c>
      <c r="O608" s="81">
        <f>6.72*0.723</f>
        <v>4.8585599999999998</v>
      </c>
      <c r="P608" s="81">
        <f>6.69*0.723</f>
        <v>4.8368700000000002</v>
      </c>
      <c r="Q608" s="81">
        <f>4.863*0.668</f>
        <v>3.2484840000000004</v>
      </c>
    </row>
    <row r="609" spans="1:17" ht="24" customHeight="1" x14ac:dyDescent="0.2">
      <c r="A609" s="125" t="s">
        <v>641</v>
      </c>
      <c r="B609" s="81">
        <v>1.6</v>
      </c>
      <c r="C609" s="81">
        <v>0.96</v>
      </c>
      <c r="D609" s="126">
        <f t="shared" si="4"/>
        <v>0</v>
      </c>
      <c r="E609" s="81">
        <f>3.35*0.55</f>
        <v>1.8425000000000002</v>
      </c>
      <c r="F609" s="81">
        <v>1.58</v>
      </c>
      <c r="G609" s="81">
        <v>1.3</v>
      </c>
      <c r="H609" s="81">
        <v>1.2</v>
      </c>
      <c r="I609" s="81">
        <v>2.79</v>
      </c>
      <c r="J609" s="140">
        <v>2.4700000000000002</v>
      </c>
      <c r="K609" s="140">
        <v>2.97</v>
      </c>
      <c r="L609" s="81">
        <f>1.0134/0.45436</f>
        <v>2.230389999119641</v>
      </c>
      <c r="M609" s="81">
        <f>2.35*0.55</f>
        <v>1.2925000000000002</v>
      </c>
      <c r="N609" s="81">
        <f>2.1*0.5</f>
        <v>1.05</v>
      </c>
      <c r="O609" s="81">
        <f>6.57*0.7142</f>
        <v>4.6922939999999995</v>
      </c>
      <c r="P609" s="81">
        <f>6.57*0.7142</f>
        <v>4.6922939999999995</v>
      </c>
      <c r="Q609" s="81">
        <f>4.91*0.657</f>
        <v>3.22587</v>
      </c>
    </row>
    <row r="610" spans="1:17" ht="22.5" customHeight="1" x14ac:dyDescent="0.2">
      <c r="A610" s="125" t="s">
        <v>642</v>
      </c>
      <c r="B610" s="81">
        <v>1.6</v>
      </c>
      <c r="C610" s="81">
        <v>0.97799999999999998</v>
      </c>
      <c r="D610" s="126">
        <f t="shared" si="4"/>
        <v>0</v>
      </c>
      <c r="E610" s="81">
        <f>3.33*0.55</f>
        <v>1.8315000000000001</v>
      </c>
      <c r="F610" s="81">
        <v>1.56</v>
      </c>
      <c r="G610" s="81">
        <v>1.28</v>
      </c>
      <c r="H610" s="81">
        <v>1.19</v>
      </c>
      <c r="I610" s="81">
        <v>2.7</v>
      </c>
      <c r="J610" s="140">
        <v>2.39</v>
      </c>
      <c r="K610" s="140">
        <v>2.85</v>
      </c>
      <c r="L610" s="81">
        <f>1.0506/0.45436</f>
        <v>2.3122634034686151</v>
      </c>
      <c r="M610" s="81">
        <f>2.35*0.55</f>
        <v>1.2925000000000002</v>
      </c>
      <c r="N610" s="81">
        <f>2.1*0.5</f>
        <v>1.05</v>
      </c>
      <c r="O610" s="81">
        <f>6.82*0.7183</f>
        <v>4.8988060000000004</v>
      </c>
      <c r="P610" s="81">
        <f>6.79*0.7183</f>
        <v>4.8772570000000002</v>
      </c>
      <c r="Q610" s="81">
        <f>4.95*0.6518</f>
        <v>3.2264100000000004</v>
      </c>
    </row>
    <row r="611" spans="1:17" ht="24.75" customHeight="1" x14ac:dyDescent="0.2">
      <c r="A611" s="125" t="s">
        <v>643</v>
      </c>
      <c r="B611" s="81">
        <v>1.6</v>
      </c>
      <c r="C611" s="81">
        <v>0.95</v>
      </c>
      <c r="D611" s="126">
        <f t="shared" si="4"/>
        <v>0</v>
      </c>
      <c r="E611" s="81">
        <f>3.32*0.55</f>
        <v>1.8260000000000001</v>
      </c>
      <c r="F611" s="81">
        <v>1.54</v>
      </c>
      <c r="G611" s="81">
        <v>1.27</v>
      </c>
      <c r="H611" s="81">
        <v>1.1599999999999999</v>
      </c>
      <c r="I611" s="81">
        <v>2.92</v>
      </c>
      <c r="J611" s="140">
        <v>2.6</v>
      </c>
      <c r="K611" s="140">
        <v>3.16</v>
      </c>
      <c r="L611" s="81">
        <f>1.0659/0.45436</f>
        <v>2.3459371423540807</v>
      </c>
      <c r="M611" s="81">
        <f>2.35*0.55</f>
        <v>1.2925000000000002</v>
      </c>
      <c r="N611" s="81">
        <f>2.1*0.5</f>
        <v>1.05</v>
      </c>
      <c r="O611" s="81">
        <f>6.97*0.7356</f>
        <v>5.1271320000000005</v>
      </c>
      <c r="P611" s="81">
        <f>6.52*0.7356</f>
        <v>4.7961119999999999</v>
      </c>
      <c r="Q611" s="81">
        <f>4.8*0.6739</f>
        <v>3.2347200000000003</v>
      </c>
    </row>
    <row r="612" spans="1:17" ht="22.5" customHeight="1" x14ac:dyDescent="0.2">
      <c r="A612" s="125" t="s">
        <v>644</v>
      </c>
      <c r="B612" s="81">
        <v>1.6</v>
      </c>
      <c r="C612" s="81">
        <v>1</v>
      </c>
      <c r="D612" s="126">
        <f t="shared" si="4"/>
        <v>0</v>
      </c>
      <c r="E612" s="81">
        <f>3.32*0.55</f>
        <v>1.8260000000000001</v>
      </c>
      <c r="F612" s="81">
        <v>1.54</v>
      </c>
      <c r="G612" s="81">
        <v>1.3</v>
      </c>
      <c r="H612" s="81">
        <v>1.19</v>
      </c>
      <c r="I612" s="81">
        <v>3</v>
      </c>
      <c r="J612" s="140">
        <v>2.64</v>
      </c>
      <c r="K612" s="140">
        <v>3.39</v>
      </c>
      <c r="L612" s="81">
        <f>1.0509/0.45436</f>
        <v>2.3129236728585263</v>
      </c>
      <c r="M612" s="81">
        <f>2.55*0.55</f>
        <v>1.4025000000000001</v>
      </c>
      <c r="N612" s="81">
        <f>2.3*0.5</f>
        <v>1.1499999999999999</v>
      </c>
      <c r="O612" s="81">
        <f>6.63*0.7271</f>
        <v>4.8206729999999993</v>
      </c>
      <c r="P612" s="81">
        <f>6.83*0.7271</f>
        <v>4.9660929999999999</v>
      </c>
      <c r="Q612" s="81">
        <f>4.8*0.6701</f>
        <v>3.2164800000000002</v>
      </c>
    </row>
    <row r="613" spans="1:17" ht="24.75" customHeight="1" x14ac:dyDescent="0.2">
      <c r="A613" s="125" t="s">
        <v>645</v>
      </c>
      <c r="B613" s="81">
        <v>1.59</v>
      </c>
      <c r="C613" s="81">
        <v>1.004</v>
      </c>
      <c r="D613" s="126">
        <f t="shared" si="4"/>
        <v>0</v>
      </c>
      <c r="E613" s="81">
        <f>3.32*0.55</f>
        <v>1.8260000000000001</v>
      </c>
      <c r="F613" s="81">
        <v>1.55</v>
      </c>
      <c r="G613" s="81">
        <v>1.31</v>
      </c>
      <c r="H613" s="81">
        <v>1.19</v>
      </c>
      <c r="I613" s="81">
        <v>3.09</v>
      </c>
      <c r="J613" s="140">
        <v>2.39</v>
      </c>
      <c r="K613" s="140">
        <v>2.66</v>
      </c>
      <c r="L613" s="81">
        <f>1.0313/0.45436</f>
        <v>2.2697860727176691</v>
      </c>
      <c r="M613" s="81">
        <f>2.65*0.55</f>
        <v>1.4575</v>
      </c>
      <c r="N613" s="81">
        <f>2.4*0.5</f>
        <v>1.2</v>
      </c>
      <c r="O613" s="81">
        <f>6.83*0.7256</f>
        <v>4.9558480000000005</v>
      </c>
      <c r="P613" s="81">
        <f>6.54*0.7256</f>
        <v>4.7454239999999999</v>
      </c>
      <c r="Q613" s="81">
        <f>5*0.6647</f>
        <v>3.3234999999999997</v>
      </c>
    </row>
    <row r="614" spans="1:17" ht="27" customHeight="1" x14ac:dyDescent="0.2">
      <c r="A614" s="125" t="s">
        <v>646</v>
      </c>
      <c r="B614" s="81">
        <v>1.59</v>
      </c>
      <c r="C614" s="81">
        <v>1.0329999999999999</v>
      </c>
      <c r="D614" s="126">
        <f t="shared" si="4"/>
        <v>0</v>
      </c>
      <c r="E614" s="81">
        <f>3.32*0.55</f>
        <v>1.8260000000000001</v>
      </c>
      <c r="F614" s="81">
        <v>1.57</v>
      </c>
      <c r="G614" s="81">
        <v>1.33</v>
      </c>
      <c r="H614" s="81">
        <v>1.21</v>
      </c>
      <c r="I614" s="81">
        <v>3.13</v>
      </c>
      <c r="J614" s="140">
        <v>2.34</v>
      </c>
      <c r="K614" s="140">
        <v>2.62</v>
      </c>
      <c r="L614" s="81">
        <f>1.0121/0.45436</f>
        <v>2.2275288317633595</v>
      </c>
      <c r="M614" s="81">
        <f>2.68*0.55</f>
        <v>1.4740000000000002</v>
      </c>
      <c r="N614" s="81">
        <f>2.48*0.5</f>
        <v>1.24</v>
      </c>
      <c r="O614" s="81">
        <f>6.65*0.7309</f>
        <v>4.8604850000000006</v>
      </c>
      <c r="P614" s="81">
        <f>6.49*0.7309</f>
        <v>4.7435410000000005</v>
      </c>
      <c r="Q614" s="81">
        <f>5.03*0.6749</f>
        <v>3.3947470000000006</v>
      </c>
    </row>
    <row r="615" spans="1:17" ht="27.75" customHeight="1" x14ac:dyDescent="0.2">
      <c r="A615" s="125" t="s">
        <v>647</v>
      </c>
      <c r="B615" s="81">
        <v>1.55</v>
      </c>
      <c r="C615" s="81">
        <v>1.0329999999999999</v>
      </c>
      <c r="D615" s="126">
        <f t="shared" si="4"/>
        <v>0</v>
      </c>
      <c r="E615" s="81">
        <f>3.3*0.55</f>
        <v>1.8149999999999999</v>
      </c>
      <c r="F615" s="81">
        <v>1.56</v>
      </c>
      <c r="G615" s="81">
        <v>1.3</v>
      </c>
      <c r="H615" s="81">
        <v>1.18</v>
      </c>
      <c r="I615" s="81">
        <v>3</v>
      </c>
      <c r="J615" s="140">
        <v>2.44</v>
      </c>
      <c r="K615" s="140">
        <v>3.42</v>
      </c>
      <c r="L615" s="81">
        <f>1.0354/0.45436</f>
        <v>2.2788097543797874</v>
      </c>
      <c r="M615" s="81">
        <f>2.75*0.55</f>
        <v>1.5125000000000002</v>
      </c>
      <c r="N615" s="81">
        <f>2.55*0.5</f>
        <v>1.2749999999999999</v>
      </c>
      <c r="O615" s="81">
        <f>6.98*0.7027</f>
        <v>4.904846</v>
      </c>
      <c r="P615" s="81">
        <f>6.78*0.7027</f>
        <v>4.7643060000000004</v>
      </c>
      <c r="Q615" s="81">
        <f>5.05*0.6749</f>
        <v>3.408245</v>
      </c>
    </row>
    <row r="616" spans="1:17" ht="26.25" customHeight="1" x14ac:dyDescent="0.2">
      <c r="A616" s="125" t="s">
        <v>648</v>
      </c>
      <c r="B616" s="81">
        <v>1.53</v>
      </c>
      <c r="C616" s="81">
        <v>1.08</v>
      </c>
      <c r="D616" s="126">
        <f t="shared" si="4"/>
        <v>0</v>
      </c>
      <c r="E616" s="81">
        <f>3.25*0.55</f>
        <v>1.7875000000000001</v>
      </c>
      <c r="F616" s="81">
        <v>1.54</v>
      </c>
      <c r="G616" s="81">
        <v>1.28</v>
      </c>
      <c r="H616" s="81">
        <v>1.1599999999999999</v>
      </c>
      <c r="I616" s="81">
        <v>3.01</v>
      </c>
      <c r="J616" s="140">
        <v>2.4</v>
      </c>
      <c r="K616" s="140">
        <v>3.41</v>
      </c>
      <c r="L616" s="81">
        <f>1.0505/0.45436</f>
        <v>2.3120433136719782</v>
      </c>
      <c r="M616" s="81">
        <f>2.8*0.55</f>
        <v>1.54</v>
      </c>
      <c r="N616" s="81">
        <f>2.6*0.5</f>
        <v>1.3</v>
      </c>
      <c r="O616" s="81">
        <f>6.9*0.7158</f>
        <v>4.9390200000000002</v>
      </c>
      <c r="P616" s="81">
        <f>6.87*0.7158</f>
        <v>4.9175459999999998</v>
      </c>
      <c r="Q616" s="81">
        <f>5.05*0.6633</f>
        <v>3.3496649999999999</v>
      </c>
    </row>
    <row r="617" spans="1:17" ht="23.25" customHeight="1" x14ac:dyDescent="0.2">
      <c r="A617" s="125" t="s">
        <v>649</v>
      </c>
      <c r="B617" s="81">
        <v>1.53</v>
      </c>
      <c r="C617" s="81">
        <v>1.08</v>
      </c>
      <c r="D617" s="126">
        <f t="shared" si="4"/>
        <v>0</v>
      </c>
      <c r="E617" s="81">
        <f>3.23*0.55</f>
        <v>1.7765000000000002</v>
      </c>
      <c r="F617" s="81">
        <v>1.54</v>
      </c>
      <c r="G617" s="81">
        <v>1.32</v>
      </c>
      <c r="H617" s="81">
        <v>1.2</v>
      </c>
      <c r="I617" s="81">
        <v>3.1040000000000001</v>
      </c>
      <c r="J617" s="140">
        <v>2.4700000000000002</v>
      </c>
      <c r="K617" s="140">
        <v>3.48</v>
      </c>
      <c r="L617" s="81">
        <f>1.0712/0.45436</f>
        <v>2.3576019015758427</v>
      </c>
      <c r="M617" s="81">
        <f>2.85*0.55</f>
        <v>1.5675000000000001</v>
      </c>
      <c r="N617" s="81">
        <f>2.65*0.5</f>
        <v>1.325</v>
      </c>
      <c r="O617" s="81">
        <f>6.82*0.7166</f>
        <v>4.8872119999999999</v>
      </c>
      <c r="P617" s="81">
        <f>6.83*0.7166</f>
        <v>4.8943780000000006</v>
      </c>
      <c r="Q617" s="81">
        <f>5.01*0.6582</f>
        <v>3.2975819999999998</v>
      </c>
    </row>
    <row r="618" spans="1:17" ht="25.5" customHeight="1" x14ac:dyDescent="0.2">
      <c r="A618" s="125" t="s">
        <v>650</v>
      </c>
      <c r="B618" s="81">
        <v>1.5</v>
      </c>
      <c r="C618" s="81">
        <v>1.08</v>
      </c>
      <c r="D618" s="126">
        <f t="shared" si="4"/>
        <v>0</v>
      </c>
      <c r="E618" s="81">
        <f>3.2*0.55</f>
        <v>1.7600000000000002</v>
      </c>
      <c r="F618" s="81">
        <v>1.53</v>
      </c>
      <c r="G618" s="81">
        <v>1.38</v>
      </c>
      <c r="H618" s="81">
        <v>1.28</v>
      </c>
      <c r="I618" s="81">
        <v>3.11</v>
      </c>
      <c r="J618" s="140">
        <v>2.5</v>
      </c>
      <c r="K618" s="140">
        <v>3.4657875980042765</v>
      </c>
      <c r="L618" s="81">
        <f>1.0826/0.45436</f>
        <v>2.3826921383924642</v>
      </c>
      <c r="M618" s="81">
        <f>2.85*0.55</f>
        <v>1.5675000000000001</v>
      </c>
      <c r="N618" s="81">
        <f>2.65*0.5</f>
        <v>1.325</v>
      </c>
      <c r="O618" s="81">
        <f>7.11*0.7082</f>
        <v>5.0353020000000006</v>
      </c>
      <c r="P618" s="81">
        <f>6.88*0.7082</f>
        <v>4.8724160000000003</v>
      </c>
      <c r="Q618" s="81">
        <f>5*0.6587</f>
        <v>3.2934999999999999</v>
      </c>
    </row>
    <row r="619" spans="1:17" ht="24" customHeight="1" x14ac:dyDescent="0.2">
      <c r="A619" s="125" t="s">
        <v>651</v>
      </c>
      <c r="B619" s="81">
        <v>1.51</v>
      </c>
      <c r="C619" s="81">
        <v>1.1399999999999999</v>
      </c>
      <c r="D619" s="126">
        <f t="shared" si="4"/>
        <v>0</v>
      </c>
      <c r="E619" s="81">
        <f>3.2*0.55</f>
        <v>1.7600000000000002</v>
      </c>
      <c r="F619" s="81">
        <v>1.52</v>
      </c>
      <c r="G619" s="81">
        <v>1.42</v>
      </c>
      <c r="H619" s="81">
        <v>1.33</v>
      </c>
      <c r="I619" s="81">
        <v>3.19</v>
      </c>
      <c r="J619" s="140">
        <v>2.6040000000000001</v>
      </c>
      <c r="K619" s="140">
        <v>3.6</v>
      </c>
      <c r="L619" s="81">
        <f>1.0752/0.45436</f>
        <v>2.3664054934413241</v>
      </c>
      <c r="M619" s="81">
        <f>2.85*0.55</f>
        <v>1.5675000000000001</v>
      </c>
      <c r="N619" s="81">
        <f>2.65*0.5</f>
        <v>1.325</v>
      </c>
      <c r="O619" s="81">
        <f>6.94*0.7136</f>
        <v>4.9523840000000003</v>
      </c>
      <c r="P619" s="81">
        <f>6.83*0.7136</f>
        <v>4.873888</v>
      </c>
      <c r="Q619" s="81">
        <f>4.97*0.6686</f>
        <v>3.3229419999999998</v>
      </c>
    </row>
    <row r="620" spans="1:17" ht="26.25" customHeight="1" x14ac:dyDescent="0.2">
      <c r="A620" s="125" t="s">
        <v>652</v>
      </c>
      <c r="B620" s="81">
        <v>1.54</v>
      </c>
      <c r="C620" s="81">
        <v>1.2</v>
      </c>
      <c r="D620" s="126">
        <f t="shared" si="4"/>
        <v>0</v>
      </c>
      <c r="E620" s="81">
        <f>3.1*0.55</f>
        <v>1.7050000000000003</v>
      </c>
      <c r="F620" s="81">
        <v>1.46</v>
      </c>
      <c r="G620" s="81">
        <v>1.43</v>
      </c>
      <c r="H620" s="81">
        <v>1.34</v>
      </c>
      <c r="I620" s="81">
        <v>3.2</v>
      </c>
      <c r="J620" s="140">
        <v>2.6150000000000002</v>
      </c>
      <c r="K620" s="140">
        <v>3.6339999999999999</v>
      </c>
      <c r="L620" s="81">
        <f>1.0507/0.45436</f>
        <v>2.312483493265252</v>
      </c>
      <c r="M620" s="81">
        <f>2.8*0.55</f>
        <v>1.54</v>
      </c>
      <c r="N620" s="81">
        <f>2.63*0.5</f>
        <v>1.3149999999999999</v>
      </c>
      <c r="O620" s="81">
        <f>7.2*0.7033</f>
        <v>5.0637600000000003</v>
      </c>
      <c r="P620" s="81">
        <f>6.71*0.7033</f>
        <v>4.7191429999999999</v>
      </c>
      <c r="Q620" s="81">
        <f>4.972*0.6628</f>
        <v>3.2954416000000002</v>
      </c>
    </row>
    <row r="621" spans="1:17" ht="27.75" customHeight="1" x14ac:dyDescent="0.2">
      <c r="A621" s="125" t="s">
        <v>653</v>
      </c>
      <c r="B621" s="81">
        <v>1.56</v>
      </c>
      <c r="C621" s="81">
        <v>1.17</v>
      </c>
      <c r="D621" s="126">
        <f t="shared" si="4"/>
        <v>0</v>
      </c>
      <c r="E621" s="81">
        <f>3.05*0.55</f>
        <v>1.6775</v>
      </c>
      <c r="F621" s="81">
        <v>1.43</v>
      </c>
      <c r="G621" s="81">
        <v>1.43</v>
      </c>
      <c r="H621" s="81">
        <v>1.34</v>
      </c>
      <c r="I621" s="81">
        <v>3.45</v>
      </c>
      <c r="J621" s="140">
        <v>2.8518518518518516</v>
      </c>
      <c r="K621" s="140">
        <v>3.9259259259259256</v>
      </c>
      <c r="L621" s="81">
        <f>1.0424/0.45436</f>
        <v>2.294216040144379</v>
      </c>
      <c r="M621" s="81">
        <f>2.9*0.55</f>
        <v>1.595</v>
      </c>
      <c r="N621" s="81">
        <f>2.8*0.5</f>
        <v>1.4</v>
      </c>
      <c r="O621" s="81">
        <f>7.37*0.7282</f>
        <v>5.3668339999999999</v>
      </c>
      <c r="P621" s="81">
        <f>6.94*0.7282</f>
        <v>5.0537080000000003</v>
      </c>
      <c r="Q621" s="81">
        <f>4.972*0.6771</f>
        <v>3.3665412000000003</v>
      </c>
    </row>
    <row r="622" spans="1:17" ht="28.5" customHeight="1" x14ac:dyDescent="0.2">
      <c r="A622" s="125" t="s">
        <v>654</v>
      </c>
      <c r="B622" s="81">
        <v>1.58</v>
      </c>
      <c r="C622" s="81">
        <v>1.1599999999999999</v>
      </c>
      <c r="D622" s="126">
        <f t="shared" si="4"/>
        <v>0</v>
      </c>
      <c r="E622" s="81">
        <f>2.95*0.55</f>
        <v>1.6225000000000003</v>
      </c>
      <c r="F622" s="81">
        <v>1.37</v>
      </c>
      <c r="G622" s="81">
        <v>1.58</v>
      </c>
      <c r="H622" s="81">
        <v>1.5</v>
      </c>
      <c r="I622" s="81">
        <v>3.52</v>
      </c>
      <c r="J622" s="140">
        <v>2.97</v>
      </c>
      <c r="K622" s="140">
        <v>3.8</v>
      </c>
      <c r="L622" s="81">
        <f>1.0633/0.45436</f>
        <v>2.3402148076415177</v>
      </c>
      <c r="M622" s="81">
        <f>2.95*0.55</f>
        <v>1.6225000000000003</v>
      </c>
      <c r="N622" s="81">
        <f>2.8*0.5</f>
        <v>1.4</v>
      </c>
      <c r="O622" s="81">
        <f>7.33*0.7242</f>
        <v>5.3083859999999996</v>
      </c>
      <c r="P622" s="81">
        <f>6.98*0.7242</f>
        <v>5.0549160000000004</v>
      </c>
      <c r="Q622" s="81">
        <f>4.955*0.685</f>
        <v>3.3941750000000002</v>
      </c>
    </row>
    <row r="623" spans="1:17" ht="29.25" customHeight="1" x14ac:dyDescent="0.2">
      <c r="A623" s="125" t="s">
        <v>655</v>
      </c>
      <c r="B623" s="81">
        <v>1.59</v>
      </c>
      <c r="C623" s="81">
        <v>1.1200000000000001</v>
      </c>
      <c r="D623" s="126">
        <f t="shared" si="4"/>
        <v>0</v>
      </c>
      <c r="E623" s="81">
        <f>2.85*0.55</f>
        <v>1.5675000000000001</v>
      </c>
      <c r="F623" s="81">
        <v>1.34</v>
      </c>
      <c r="G623" s="81">
        <v>1.62</v>
      </c>
      <c r="H623" s="81">
        <v>1.52</v>
      </c>
      <c r="I623" s="81">
        <v>3.56</v>
      </c>
      <c r="J623" s="140">
        <v>2.97</v>
      </c>
      <c r="K623" s="140">
        <v>3.78</v>
      </c>
      <c r="L623" s="81">
        <f>1.0962/0.45436</f>
        <v>2.4126243507351002</v>
      </c>
      <c r="M623" s="81">
        <f>2.95*0.55</f>
        <v>1.6225000000000003</v>
      </c>
      <c r="N623" s="81">
        <f>2.8*0.5</f>
        <v>1.4</v>
      </c>
      <c r="O623" s="81">
        <f>7.36*0.7292</f>
        <v>5.3669120000000001</v>
      </c>
      <c r="P623" s="81">
        <f>6.92*0.7292</f>
        <v>5.0460639999999994</v>
      </c>
      <c r="Q623" s="81">
        <f>4.955*0.6924</f>
        <v>3.4308420000000002</v>
      </c>
    </row>
    <row r="624" spans="1:17" ht="30.75" customHeight="1" x14ac:dyDescent="0.2">
      <c r="A624" s="125" t="s">
        <v>656</v>
      </c>
      <c r="B624" s="81">
        <v>1.61</v>
      </c>
      <c r="C624" s="81">
        <v>1.1499999999999999</v>
      </c>
      <c r="D624" s="126">
        <f t="shared" si="4"/>
        <v>0</v>
      </c>
      <c r="E624" s="81">
        <f>2.8*0.55</f>
        <v>1.54</v>
      </c>
      <c r="F624" s="81">
        <v>1.32</v>
      </c>
      <c r="G624" s="81">
        <v>1.65</v>
      </c>
      <c r="H624" s="81">
        <v>1.52</v>
      </c>
      <c r="I624" s="81">
        <v>3.57</v>
      </c>
      <c r="J624" s="140">
        <v>2.93</v>
      </c>
      <c r="K624" s="140">
        <v>3.72</v>
      </c>
      <c r="L624" s="81">
        <f>1.0957/0.45436</f>
        <v>2.4115239017519148</v>
      </c>
      <c r="M624" s="81">
        <f>2.95*0.55</f>
        <v>1.6225000000000003</v>
      </c>
      <c r="N624" s="81">
        <f>2.8*0.5</f>
        <v>1.4</v>
      </c>
      <c r="O624" s="81">
        <f>7.33*0.7362</f>
        <v>5.3963459999999994</v>
      </c>
      <c r="P624" s="81">
        <f>6.85*0.7362</f>
        <v>5.0429699999999995</v>
      </c>
      <c r="Q624" s="81">
        <f>4.88*0.7004</f>
        <v>3.4179520000000001</v>
      </c>
    </row>
    <row r="625" spans="1:17" ht="28.5" customHeight="1" x14ac:dyDescent="0.2">
      <c r="A625" s="125" t="s">
        <v>657</v>
      </c>
      <c r="B625" s="81">
        <v>1.66</v>
      </c>
      <c r="C625" s="81">
        <v>1.17</v>
      </c>
      <c r="D625" s="126">
        <f t="shared" si="4"/>
        <v>0</v>
      </c>
      <c r="E625" s="81">
        <f>2.83*0.55</f>
        <v>1.5565000000000002</v>
      </c>
      <c r="F625" s="81">
        <v>1.34</v>
      </c>
      <c r="G625" s="81">
        <v>1.69</v>
      </c>
      <c r="H625" s="81">
        <v>1.58</v>
      </c>
      <c r="I625" s="81">
        <v>3.53</v>
      </c>
      <c r="J625" s="140">
        <v>2.9</v>
      </c>
      <c r="K625" s="140">
        <v>3.71</v>
      </c>
      <c r="L625" s="81">
        <f>1.1027/0.45436</f>
        <v>2.4269301875165068</v>
      </c>
      <c r="M625" s="81">
        <f>2.8*0.55</f>
        <v>1.54</v>
      </c>
      <c r="N625" s="81">
        <f>2.6*0.5</f>
        <v>1.3</v>
      </c>
      <c r="O625" s="81">
        <f>7.06*0.7447</f>
        <v>5.2575820000000002</v>
      </c>
      <c r="P625" s="81">
        <f>6.46*0.7447</f>
        <v>4.8107620000000004</v>
      </c>
      <c r="Q625" s="81">
        <f>4.84*0.7083</f>
        <v>3.428172</v>
      </c>
    </row>
    <row r="626" spans="1:17" ht="28.5" customHeight="1" x14ac:dyDescent="0.2">
      <c r="A626" s="125" t="s">
        <v>658</v>
      </c>
      <c r="B626" s="81">
        <v>1.77</v>
      </c>
      <c r="C626" s="81">
        <v>1.19</v>
      </c>
      <c r="D626" s="126">
        <f t="shared" si="4"/>
        <v>0</v>
      </c>
      <c r="E626" s="81">
        <f>2.95*0.55</f>
        <v>1.6225000000000003</v>
      </c>
      <c r="F626" s="81">
        <v>1.39</v>
      </c>
      <c r="G626" s="81">
        <v>1.71</v>
      </c>
      <c r="H626" s="81">
        <v>1.6</v>
      </c>
      <c r="I626" s="81">
        <v>3.46</v>
      </c>
      <c r="J626" s="140">
        <v>2.86</v>
      </c>
      <c r="K626" s="140">
        <v>3.71</v>
      </c>
      <c r="L626" s="81">
        <f>1.0975/0.45436</f>
        <v>2.4154855180913812</v>
      </c>
      <c r="M626" s="81">
        <f>2.8*0.55</f>
        <v>1.54</v>
      </c>
      <c r="N626" s="81">
        <f>2.6*0.5</f>
        <v>1.3</v>
      </c>
      <c r="O626" s="81">
        <f>6.88*0.7486</f>
        <v>5.1503680000000003</v>
      </c>
      <c r="P626" s="81">
        <f>6.4*0.7486</f>
        <v>4.7910400000000006</v>
      </c>
      <c r="Q626" s="81">
        <f>4.76*0.7037</f>
        <v>3.349612</v>
      </c>
    </row>
    <row r="627" spans="1:17" ht="27.75" customHeight="1" x14ac:dyDescent="0.2">
      <c r="A627" s="125" t="s">
        <v>659</v>
      </c>
      <c r="B627" s="81">
        <v>1.94</v>
      </c>
      <c r="C627" s="81">
        <v>1.2</v>
      </c>
      <c r="D627" s="126">
        <f t="shared" si="4"/>
        <v>0</v>
      </c>
      <c r="E627" s="81">
        <f>3.1*0.55</f>
        <v>1.7050000000000003</v>
      </c>
      <c r="F627" s="81">
        <v>1.44</v>
      </c>
      <c r="G627" s="81">
        <v>1.66</v>
      </c>
      <c r="H627" s="81">
        <v>1.57</v>
      </c>
      <c r="I627" s="81">
        <v>3.35</v>
      </c>
      <c r="J627" s="140">
        <v>2.68</v>
      </c>
      <c r="K627" s="140">
        <v>3.76</v>
      </c>
      <c r="L627" s="81">
        <f>1.0675/0.45436</f>
        <v>2.3494585791002729</v>
      </c>
      <c r="M627" s="81">
        <f>2.7*0.55</f>
        <v>1.4850000000000003</v>
      </c>
      <c r="N627" s="81">
        <f>2.5*0.5</f>
        <v>1.25</v>
      </c>
      <c r="O627" s="81">
        <f>6.94*0.7693</f>
        <v>5.3389420000000003</v>
      </c>
      <c r="P627" s="81">
        <f>6.25*0.7693</f>
        <v>4.8081249999999995</v>
      </c>
      <c r="Q627" s="81">
        <f>4.71*0.7165</f>
        <v>3.3747150000000001</v>
      </c>
    </row>
    <row r="628" spans="1:17" ht="23.25" customHeight="1" x14ac:dyDescent="0.2">
      <c r="A628" s="125" t="s">
        <v>660</v>
      </c>
      <c r="B628" s="81">
        <v>1.97</v>
      </c>
      <c r="C628" s="81">
        <v>1.1399999999999999</v>
      </c>
      <c r="D628" s="126">
        <f t="shared" si="4"/>
        <v>0</v>
      </c>
      <c r="E628" s="81">
        <f>3.13*0.55</f>
        <v>1.7215</v>
      </c>
      <c r="F628" s="81">
        <v>1.46</v>
      </c>
      <c r="G628" s="81">
        <v>1.64</v>
      </c>
      <c r="H628" s="81">
        <v>1.55</v>
      </c>
      <c r="I628" s="81">
        <v>3.41</v>
      </c>
      <c r="J628" s="140">
        <v>2.6158876707059049</v>
      </c>
      <c r="K628" s="140">
        <v>3.6737834198884403</v>
      </c>
      <c r="L628" s="81">
        <f>1.0612/0.45436</f>
        <v>2.3355929219121401</v>
      </c>
      <c r="M628" s="81">
        <f>2.7*0.55</f>
        <v>1.4850000000000003</v>
      </c>
      <c r="N628" s="81">
        <f>2.5*0.5</f>
        <v>1.25</v>
      </c>
      <c r="O628" s="81" t="s">
        <v>501</v>
      </c>
      <c r="P628" s="81" t="s">
        <v>501</v>
      </c>
      <c r="Q628" s="81" t="s">
        <v>501</v>
      </c>
    </row>
    <row r="629" spans="1:17" ht="24.75" customHeight="1" x14ac:dyDescent="0.2">
      <c r="A629" s="125" t="s">
        <v>661</v>
      </c>
      <c r="B629" s="81">
        <v>1.97</v>
      </c>
      <c r="C629" s="81">
        <v>1.2</v>
      </c>
      <c r="D629" s="126">
        <f t="shared" si="4"/>
        <v>0</v>
      </c>
      <c r="E629" s="81">
        <f>3.15*0.55</f>
        <v>1.7325000000000002</v>
      </c>
      <c r="F629" s="81">
        <v>1.47</v>
      </c>
      <c r="G629" s="81">
        <v>1.63</v>
      </c>
      <c r="H629" s="81">
        <v>1.52</v>
      </c>
      <c r="I629" s="81">
        <v>3.5199226305609286</v>
      </c>
      <c r="J629" s="140">
        <v>2.8433268858800771</v>
      </c>
      <c r="K629" s="140">
        <v>4.0038684719535782</v>
      </c>
      <c r="L629" s="81">
        <f>1.0919/0.45436</f>
        <v>2.4031604894797081</v>
      </c>
      <c r="M629" s="81">
        <f>2.7*0.55</f>
        <v>1.4850000000000003</v>
      </c>
      <c r="N629" s="81">
        <f>2.5*0.5</f>
        <v>1.25</v>
      </c>
      <c r="O629" s="81" t="s">
        <v>501</v>
      </c>
      <c r="P629" s="81" t="s">
        <v>501</v>
      </c>
      <c r="Q629" s="81" t="s">
        <v>501</v>
      </c>
    </row>
    <row r="630" spans="1:17" ht="27.75" customHeight="1" x14ac:dyDescent="0.2">
      <c r="A630" s="142" t="s">
        <v>662</v>
      </c>
      <c r="B630" s="143">
        <v>1.95</v>
      </c>
      <c r="C630" s="143">
        <v>1.27</v>
      </c>
      <c r="D630" s="144">
        <f t="shared" si="4"/>
        <v>0</v>
      </c>
      <c r="E630" s="143">
        <f>3.12*0.55</f>
        <v>1.7160000000000002</v>
      </c>
      <c r="F630" s="143">
        <v>1.46</v>
      </c>
      <c r="G630" s="143">
        <v>1.6</v>
      </c>
      <c r="H630" s="143">
        <v>1.5</v>
      </c>
      <c r="I630" s="143">
        <v>3.45</v>
      </c>
      <c r="J630" s="145">
        <v>2.86</v>
      </c>
      <c r="K630" s="145">
        <v>3.87</v>
      </c>
      <c r="L630" s="143">
        <f>1.1151/0.45436</f>
        <v>2.4542213222994982</v>
      </c>
      <c r="M630" s="143">
        <f>2.85*0.55</f>
        <v>1.5675000000000001</v>
      </c>
      <c r="N630" s="143">
        <f>2.65*0.5</f>
        <v>1.325</v>
      </c>
      <c r="O630" s="143" t="s">
        <v>501</v>
      </c>
      <c r="P630" s="143" t="s">
        <v>501</v>
      </c>
      <c r="Q630" s="143">
        <f>4.65*0.7257</f>
        <v>3.3745050000000005</v>
      </c>
    </row>
    <row r="631" spans="1:17" ht="25.5" customHeight="1" x14ac:dyDescent="0.2">
      <c r="A631" s="142" t="s">
        <v>663</v>
      </c>
      <c r="B631" s="143">
        <v>1.98</v>
      </c>
      <c r="C631" s="143">
        <v>1.21</v>
      </c>
      <c r="D631" s="144">
        <f t="shared" si="4"/>
        <v>0</v>
      </c>
      <c r="E631" s="143">
        <f>3.1*0.55</f>
        <v>1.7050000000000003</v>
      </c>
      <c r="F631" s="143">
        <v>1.46</v>
      </c>
      <c r="G631" s="143">
        <v>1.62</v>
      </c>
      <c r="H631" s="143">
        <v>1.58</v>
      </c>
      <c r="I631" s="143">
        <v>3.62</v>
      </c>
      <c r="J631" s="145">
        <v>3.012275731822474</v>
      </c>
      <c r="K631" s="145">
        <v>4.0132200188857414</v>
      </c>
      <c r="L631" s="143">
        <f>1.1127/0.45436</f>
        <v>2.4489391671802094</v>
      </c>
      <c r="M631" s="143">
        <f>2.95*0.55</f>
        <v>1.6225000000000003</v>
      </c>
      <c r="N631" s="143">
        <f>2.8*0.5</f>
        <v>1.4</v>
      </c>
      <c r="O631" s="143">
        <f>7.03*0.7723</f>
        <v>5.4292689999999997</v>
      </c>
      <c r="P631" s="143">
        <f>6.96*0.7723</f>
        <v>5.3752079999999998</v>
      </c>
      <c r="Q631" s="143">
        <f>4.65*0.7155</f>
        <v>3.3270750000000002</v>
      </c>
    </row>
    <row r="632" spans="1:17" ht="27" customHeight="1" x14ac:dyDescent="0.2">
      <c r="A632" s="142" t="s">
        <v>664</v>
      </c>
      <c r="B632" s="143">
        <v>1.98</v>
      </c>
      <c r="C632" s="143">
        <v>1.2</v>
      </c>
      <c r="D632" s="144">
        <f t="shared" si="4"/>
        <v>0</v>
      </c>
      <c r="E632" s="143">
        <f>3.1*0.55</f>
        <v>1.7050000000000003</v>
      </c>
      <c r="F632" s="143">
        <v>1.46</v>
      </c>
      <c r="G632" s="143">
        <v>1.66</v>
      </c>
      <c r="H632" s="143">
        <v>1.62</v>
      </c>
      <c r="I632" s="143">
        <v>3.5839416058394158</v>
      </c>
      <c r="J632" s="145">
        <v>2.910583941605839</v>
      </c>
      <c r="K632" s="145">
        <v>3.8777372262773722</v>
      </c>
      <c r="L632" s="143">
        <f>1.0952/0.45436</f>
        <v>2.4104234527687298</v>
      </c>
      <c r="M632" s="143">
        <f>2.95*0.55</f>
        <v>1.6225000000000003</v>
      </c>
      <c r="N632" s="143">
        <f>2.8*0.5</f>
        <v>1.4</v>
      </c>
      <c r="O632" s="143">
        <f>7.57*0.7762</f>
        <v>5.8758340000000002</v>
      </c>
      <c r="P632" s="143">
        <f>6.97*0.7762</f>
        <v>5.4101140000000001</v>
      </c>
      <c r="Q632" s="143">
        <f>4.58*0.7202</f>
        <v>3.2985159999999998</v>
      </c>
    </row>
    <row r="633" spans="1:17" ht="27" customHeight="1" x14ac:dyDescent="0.2">
      <c r="A633" s="142" t="s">
        <v>665</v>
      </c>
      <c r="B633" s="143">
        <v>1.95</v>
      </c>
      <c r="C633" s="143">
        <v>1.25</v>
      </c>
      <c r="D633" s="144">
        <f t="shared" si="4"/>
        <v>0</v>
      </c>
      <c r="E633" s="143">
        <f>3.15*0.55</f>
        <v>1.7325000000000002</v>
      </c>
      <c r="F633" s="143">
        <v>1.46</v>
      </c>
      <c r="G633" s="143">
        <v>1.68</v>
      </c>
      <c r="H633" s="143">
        <v>1.61</v>
      </c>
      <c r="I633" s="143">
        <v>3.65</v>
      </c>
      <c r="J633" s="145">
        <v>2.9009999999999998</v>
      </c>
      <c r="K633" s="145">
        <v>3.9049999999999998</v>
      </c>
      <c r="L633" s="143">
        <f>1.0923/0.45436</f>
        <v>2.4040408486662561</v>
      </c>
      <c r="M633" s="143">
        <f>3.05*0.55</f>
        <v>1.6775</v>
      </c>
      <c r="N633" s="143">
        <f>2.85*0.5</f>
        <v>1.425</v>
      </c>
      <c r="O633" s="143">
        <f>7.41*0.7675</f>
        <v>5.6871749999999999</v>
      </c>
      <c r="P633" s="143">
        <f>6.93*0.7675</f>
        <v>5.3187749999999996</v>
      </c>
      <c r="Q633" s="143">
        <f>4.56*0.7205</f>
        <v>3.2854799999999997</v>
      </c>
    </row>
    <row r="634" spans="1:17" ht="27" customHeight="1" x14ac:dyDescent="0.2">
      <c r="A634" s="142" t="s">
        <v>666</v>
      </c>
      <c r="B634" s="143">
        <v>1.99</v>
      </c>
      <c r="C634" s="143">
        <v>1.28</v>
      </c>
      <c r="D634" s="144">
        <f t="shared" si="4"/>
        <v>0</v>
      </c>
      <c r="E634" s="143">
        <f>3.2*0.55</f>
        <v>1.7600000000000002</v>
      </c>
      <c r="F634" s="143">
        <v>1.48</v>
      </c>
      <c r="G634" s="143">
        <v>1.73</v>
      </c>
      <c r="H634" s="143">
        <v>1.63</v>
      </c>
      <c r="I634" s="143">
        <v>3.73</v>
      </c>
      <c r="J634" s="145">
        <v>2.9104477611940296</v>
      </c>
      <c r="K634" s="145">
        <v>4.0671641791044779</v>
      </c>
      <c r="L634" s="143">
        <f>1.1244/0.45436</f>
        <v>2.4746896733867421</v>
      </c>
      <c r="M634" s="143">
        <f>3.15*0.55</f>
        <v>1.7325000000000002</v>
      </c>
      <c r="N634" s="143">
        <f>2.95*0.5</f>
        <v>1.4750000000000001</v>
      </c>
      <c r="O634" s="143">
        <f>7.58*0.7603</f>
        <v>5.7630739999999996</v>
      </c>
      <c r="P634" s="143">
        <f>6.95*0.7603</f>
        <v>5.2840850000000001</v>
      </c>
      <c r="Q634" s="143">
        <f>4.6*0.7159</f>
        <v>3.2931399999999997</v>
      </c>
    </row>
    <row r="635" spans="1:17" ht="27" customHeight="1" x14ac:dyDescent="0.2">
      <c r="A635" s="142" t="s">
        <v>667</v>
      </c>
      <c r="B635" s="143">
        <v>2</v>
      </c>
      <c r="C635" s="143">
        <v>1.28</v>
      </c>
      <c r="D635" s="144">
        <f t="shared" si="4"/>
        <v>0</v>
      </c>
      <c r="E635" s="143">
        <f>3.26*0.55</f>
        <v>1.7929999999999999</v>
      </c>
      <c r="F635" s="143">
        <v>1.51</v>
      </c>
      <c r="G635" s="143">
        <v>1.74</v>
      </c>
      <c r="H635" s="143">
        <v>1.64</v>
      </c>
      <c r="I635" s="143">
        <v>3.76</v>
      </c>
      <c r="J635" s="145">
        <v>2.9</v>
      </c>
      <c r="K635" s="145">
        <v>3.95</v>
      </c>
      <c r="L635" s="143">
        <f>1.1363/0.45436</f>
        <v>2.5008803591865485</v>
      </c>
      <c r="M635" s="143">
        <f>3.2*0.55</f>
        <v>1.7600000000000002</v>
      </c>
      <c r="N635" s="143">
        <f>3.05*0.5</f>
        <v>1.5249999999999999</v>
      </c>
      <c r="O635" s="143">
        <f>7.54*0.7763</f>
        <v>5.8533020000000002</v>
      </c>
      <c r="P635" s="143">
        <f>6.9*0.7763</f>
        <v>5.3564699999999998</v>
      </c>
      <c r="Q635" s="143">
        <f>4.61*0.7227</f>
        <v>3.3316470000000002</v>
      </c>
    </row>
    <row r="636" spans="1:17" ht="25.5" customHeight="1" x14ac:dyDescent="0.2">
      <c r="A636" s="142" t="s">
        <v>668</v>
      </c>
      <c r="B636" s="143">
        <v>2.02</v>
      </c>
      <c r="C636" s="143">
        <v>1.25</v>
      </c>
      <c r="D636" s="144">
        <f t="shared" si="4"/>
        <v>0</v>
      </c>
      <c r="E636" s="143">
        <f>3.32*0.55</f>
        <v>1.8260000000000001</v>
      </c>
      <c r="F636" s="143">
        <v>1.57</v>
      </c>
      <c r="G636" s="143">
        <v>1.76</v>
      </c>
      <c r="H636" s="143">
        <v>1.65</v>
      </c>
      <c r="I636" s="143">
        <v>3.71</v>
      </c>
      <c r="J636" s="145">
        <v>2.8942486085343231</v>
      </c>
      <c r="K636" s="145">
        <v>3.9053803339517628</v>
      </c>
      <c r="L636" s="143">
        <f>1.1383/0.45436</f>
        <v>2.5052821551192888</v>
      </c>
      <c r="M636" s="143">
        <f>3.3*0.55</f>
        <v>1.8149999999999999</v>
      </c>
      <c r="N636" s="143">
        <f>3.1*0.5</f>
        <v>1.55</v>
      </c>
      <c r="O636" s="143">
        <f>7.42*0.7763</f>
        <v>5.7601459999999998</v>
      </c>
      <c r="P636" s="143">
        <f>6.86*0.7763</f>
        <v>5.325418</v>
      </c>
      <c r="Q636" s="143">
        <f>4.61*0.7211</f>
        <v>3.324271</v>
      </c>
    </row>
    <row r="637" spans="1:17" ht="25.5" customHeight="1" x14ac:dyDescent="0.2">
      <c r="A637" s="142" t="s">
        <v>669</v>
      </c>
      <c r="B637" s="143">
        <v>2.0299999999999998</v>
      </c>
      <c r="C637" s="143">
        <v>1.29</v>
      </c>
      <c r="D637" s="144">
        <f t="shared" si="4"/>
        <v>0</v>
      </c>
      <c r="E637" s="143">
        <f>3.45*0.55</f>
        <v>1.8975000000000002</v>
      </c>
      <c r="F637" s="143">
        <v>1.61</v>
      </c>
      <c r="G637" s="143">
        <v>1.77</v>
      </c>
      <c r="H637" s="143">
        <v>1.68</v>
      </c>
      <c r="I637" s="143">
        <v>3.62</v>
      </c>
      <c r="J637" s="145">
        <v>2.8046594982078852</v>
      </c>
      <c r="K637" s="145">
        <v>3.7634408602150535</v>
      </c>
      <c r="L637" s="143">
        <f>1.1407/0.45436</f>
        <v>2.5105643102385775</v>
      </c>
      <c r="M637" s="143">
        <f>3.2*0.55</f>
        <v>1.7600000000000002</v>
      </c>
      <c r="N637" s="143">
        <f>3*0.5</f>
        <v>1.5</v>
      </c>
      <c r="O637" s="143">
        <f>7.54*0.7912</f>
        <v>5.9656479999999998</v>
      </c>
      <c r="P637" s="143">
        <f>6.79*0.7912</f>
        <v>5.3722479999999999</v>
      </c>
      <c r="Q637" s="143">
        <f>4.61*0.74</f>
        <v>3.4114</v>
      </c>
    </row>
    <row r="638" spans="1:17" ht="25.5" customHeight="1" x14ac:dyDescent="0.2">
      <c r="A638" s="142" t="s">
        <v>670</v>
      </c>
      <c r="B638" s="143">
        <v>2.0499999999999998</v>
      </c>
      <c r="C638" s="143">
        <v>1.19</v>
      </c>
      <c r="D638" s="144">
        <f t="shared" si="4"/>
        <v>0</v>
      </c>
      <c r="E638" s="143">
        <f>3.5*0.55</f>
        <v>1.9250000000000003</v>
      </c>
      <c r="F638" s="143">
        <v>1.62</v>
      </c>
      <c r="G638" s="143">
        <v>1.71</v>
      </c>
      <c r="H638" s="143">
        <v>1.61</v>
      </c>
      <c r="I638" s="143">
        <v>3.52</v>
      </c>
      <c r="J638" s="145">
        <v>2.8295254833040424</v>
      </c>
      <c r="K638" s="145">
        <v>3.7346221441124778</v>
      </c>
      <c r="L638" s="143">
        <f>1.1407/0.45436</f>
        <v>2.5105643102385775</v>
      </c>
      <c r="M638" s="143">
        <f>3.35*0.55</f>
        <v>1.8425000000000002</v>
      </c>
      <c r="N638" s="143">
        <f>3.1*0.5</f>
        <v>1.55</v>
      </c>
      <c r="O638" s="143">
        <f>7.57*0.7691</f>
        <v>5.8220870000000007</v>
      </c>
      <c r="P638" s="143">
        <f>6.81*0.7691</f>
        <v>5.237571</v>
      </c>
      <c r="Q638" s="143">
        <f>4.59*0.7161</f>
        <v>3.2868989999999996</v>
      </c>
    </row>
    <row r="639" spans="1:17" ht="24.75" customHeight="1" x14ac:dyDescent="0.2">
      <c r="A639" s="142" t="s">
        <v>671</v>
      </c>
      <c r="B639" s="143">
        <v>2.09</v>
      </c>
      <c r="C639" s="143">
        <v>1.1353400954653938</v>
      </c>
      <c r="D639" s="144">
        <f t="shared" si="4"/>
        <v>0</v>
      </c>
      <c r="E639" s="143">
        <f>3.5*0.55</f>
        <v>1.9250000000000003</v>
      </c>
      <c r="F639" s="143">
        <v>1.62</v>
      </c>
      <c r="G639" s="143">
        <v>1.68</v>
      </c>
      <c r="H639" s="143">
        <v>1.58</v>
      </c>
      <c r="I639" s="143">
        <v>3.69</v>
      </c>
      <c r="J639" s="145">
        <v>3.0755395683453242</v>
      </c>
      <c r="K639" s="145">
        <v>3.7949640287769788</v>
      </c>
      <c r="L639" s="143">
        <f>1.1364/0.45436</f>
        <v>2.5011004489831854</v>
      </c>
      <c r="M639" s="143">
        <f>3.45*0.55</f>
        <v>1.8975000000000002</v>
      </c>
      <c r="N639" s="143">
        <f>3.2*0.5</f>
        <v>1.6</v>
      </c>
      <c r="O639" s="143">
        <f>6.97*0.7758</f>
        <v>5.4073260000000003</v>
      </c>
      <c r="P639" s="143">
        <f>6.79*0.7758</f>
        <v>5.2676820000000006</v>
      </c>
      <c r="Q639" s="143">
        <f>4.56*0.7172</f>
        <v>3.2704319999999996</v>
      </c>
    </row>
    <row r="640" spans="1:17" ht="30" customHeight="1" x14ac:dyDescent="0.2">
      <c r="A640" s="142" t="s">
        <v>672</v>
      </c>
      <c r="B640" s="143">
        <v>2.09</v>
      </c>
      <c r="C640" s="143">
        <v>1.18</v>
      </c>
      <c r="D640" s="144">
        <f t="shared" si="4"/>
        <v>0</v>
      </c>
      <c r="E640" s="143">
        <f>3.5*0.55</f>
        <v>1.9250000000000003</v>
      </c>
      <c r="F640" s="143">
        <v>1.61</v>
      </c>
      <c r="G640" s="143">
        <v>1.74</v>
      </c>
      <c r="H640" s="143">
        <v>1.63</v>
      </c>
      <c r="I640" s="143">
        <v>3.82</v>
      </c>
      <c r="J640" s="145">
        <v>3.1627056672760516</v>
      </c>
      <c r="K640" s="145">
        <v>3.8299817184643512</v>
      </c>
      <c r="L640" s="143">
        <f>1.1362/0.45436</f>
        <v>2.5006602693899116</v>
      </c>
      <c r="M640" s="143">
        <f>3.35*0.55</f>
        <v>1.8425000000000002</v>
      </c>
      <c r="N640" s="143">
        <f>3.1*0.5</f>
        <v>1.55</v>
      </c>
      <c r="O640" s="143">
        <f>7.27*0.776</f>
        <v>5.6415199999999999</v>
      </c>
      <c r="P640" s="143">
        <f>6.71*0.7758</f>
        <v>5.2056180000000003</v>
      </c>
      <c r="Q640" s="143">
        <f>4.556*0.7164</f>
        <v>3.2639184000000001</v>
      </c>
    </row>
    <row r="641" spans="1:18" ht="30" customHeight="1" x14ac:dyDescent="0.2">
      <c r="A641" s="142" t="s">
        <v>673</v>
      </c>
      <c r="B641" s="143">
        <v>2.08</v>
      </c>
      <c r="C641" s="143">
        <v>1.2</v>
      </c>
      <c r="D641" s="144">
        <f t="shared" si="4"/>
        <v>0</v>
      </c>
      <c r="E641" s="143">
        <f>3.48*0.55</f>
        <v>1.9140000000000001</v>
      </c>
      <c r="F641" s="143">
        <v>1.61</v>
      </c>
      <c r="G641" s="143">
        <v>1.77</v>
      </c>
      <c r="H641" s="143">
        <v>1.66</v>
      </c>
      <c r="I641" s="143">
        <v>3.6483350736744398</v>
      </c>
      <c r="J641" s="145">
        <v>3.0542986425339365</v>
      </c>
      <c r="K641" s="145">
        <v>3.6982248520710055</v>
      </c>
      <c r="L641" s="143">
        <f>1.1423/0.45436</f>
        <v>2.5140857469847702</v>
      </c>
      <c r="M641" s="143">
        <f>3.25*0.55</f>
        <v>1.7875000000000001</v>
      </c>
      <c r="N641" s="143">
        <f>3*0.5</f>
        <v>1.5</v>
      </c>
      <c r="O641" s="143">
        <f>7.3*0.7578</f>
        <v>5.5319399999999996</v>
      </c>
      <c r="P641" s="143">
        <f>6.64*0.7578</f>
        <v>5.0317920000000003</v>
      </c>
      <c r="Q641" s="143">
        <f>4.556*0.6953</f>
        <v>3.1677868</v>
      </c>
    </row>
    <row r="642" spans="1:18" ht="24.75" customHeight="1" x14ac:dyDescent="0.2">
      <c r="A642" s="142" t="s">
        <v>674</v>
      </c>
      <c r="B642" s="143">
        <v>2.08</v>
      </c>
      <c r="C642" s="143">
        <v>1.28</v>
      </c>
      <c r="D642" s="144">
        <f t="shared" si="4"/>
        <v>0</v>
      </c>
      <c r="E642" s="143">
        <f>3.48*0.55</f>
        <v>1.9140000000000001</v>
      </c>
      <c r="F642" s="143">
        <v>1.61</v>
      </c>
      <c r="G642" s="143">
        <v>1.68</v>
      </c>
      <c r="H642" s="143">
        <v>1.528</v>
      </c>
      <c r="I642" s="143">
        <v>3.66</v>
      </c>
      <c r="J642" s="145">
        <v>3.0789473684210527</v>
      </c>
      <c r="K642" s="145">
        <v>3.7280701754385963</v>
      </c>
      <c r="L642" s="143">
        <f>1.1559/0.45436</f>
        <v>2.5440179593274057</v>
      </c>
      <c r="M642" s="143">
        <f>3.25*0.55</f>
        <v>1.7875000000000001</v>
      </c>
      <c r="N642" s="143">
        <f>3*0.5</f>
        <v>1.5</v>
      </c>
      <c r="O642" s="143" t="s">
        <v>132</v>
      </c>
      <c r="P642" s="143" t="s">
        <v>132</v>
      </c>
      <c r="Q642" s="143" t="s">
        <v>132</v>
      </c>
    </row>
    <row r="643" spans="1:18" ht="22.5" customHeight="1" x14ac:dyDescent="0.2">
      <c r="A643" s="142" t="s">
        <v>675</v>
      </c>
      <c r="B643" s="143">
        <v>2.06</v>
      </c>
      <c r="C643" s="143">
        <v>1.25</v>
      </c>
      <c r="D643" s="143">
        <f t="shared" si="4"/>
        <v>0</v>
      </c>
      <c r="E643" s="143">
        <f>3.48*0.55</f>
        <v>1.9140000000000001</v>
      </c>
      <c r="F643" s="143">
        <v>1.61</v>
      </c>
      <c r="G643" s="143">
        <v>1.72</v>
      </c>
      <c r="H643" s="143">
        <v>1.62</v>
      </c>
      <c r="I643" s="143">
        <v>3.71</v>
      </c>
      <c r="J643" s="145">
        <v>3.1690140845070425</v>
      </c>
      <c r="K643" s="145">
        <v>3.7764084507042255</v>
      </c>
      <c r="L643" s="143">
        <f>1.1808/0.45436</f>
        <v>2.5988203186900258</v>
      </c>
      <c r="M643" s="143">
        <f>3.2*0.55</f>
        <v>1.7600000000000002</v>
      </c>
      <c r="N643" s="143">
        <f>2.95*0.5</f>
        <v>1.4750000000000001</v>
      </c>
      <c r="O643" s="143">
        <f>7.57*0.7634</f>
        <v>5.7789380000000001</v>
      </c>
      <c r="P643" s="143">
        <f>7*0.7634</f>
        <v>5.3437999999999999</v>
      </c>
      <c r="Q643" s="143">
        <f>4.576*0.7043</f>
        <v>3.2228767999999999</v>
      </c>
    </row>
    <row r="644" spans="1:18" ht="24" customHeight="1" x14ac:dyDescent="0.2">
      <c r="A644" s="142" t="s">
        <v>677</v>
      </c>
      <c r="B644" s="143">
        <v>2.08</v>
      </c>
      <c r="C644" s="143">
        <v>1.26</v>
      </c>
      <c r="D644" s="143">
        <f t="shared" si="4"/>
        <v>0</v>
      </c>
      <c r="E644" s="143">
        <f>3.5*0.55</f>
        <v>1.9250000000000003</v>
      </c>
      <c r="F644" s="143">
        <v>1.62</v>
      </c>
      <c r="G644" s="143">
        <v>1.71</v>
      </c>
      <c r="H644" s="143">
        <v>1.62</v>
      </c>
      <c r="I644" s="143">
        <v>3.79</v>
      </c>
      <c r="J644" s="145">
        <v>3.2539118065433859</v>
      </c>
      <c r="K644" s="145">
        <v>3.7873399715504981</v>
      </c>
      <c r="L644" s="143">
        <f>1.2201/0.45436</f>
        <v>2.6853156087683776</v>
      </c>
      <c r="M644" s="143">
        <f>3.35*0.55</f>
        <v>1.8425000000000002</v>
      </c>
      <c r="N644" s="143">
        <f>3.1*0.5</f>
        <v>1.55</v>
      </c>
      <c r="O644" s="143">
        <f>7.54*0.775</f>
        <v>5.8435000000000006</v>
      </c>
      <c r="P644" s="143">
        <f>6.91*0.775</f>
        <v>5.3552499999999998</v>
      </c>
      <c r="Q644" s="143">
        <f>4.616*0.7171</f>
        <v>3.3101335999999995</v>
      </c>
    </row>
    <row r="645" spans="1:18" ht="22.5" customHeight="1" x14ac:dyDescent="0.2">
      <c r="A645" s="142" t="s">
        <v>678</v>
      </c>
      <c r="B645" s="143">
        <v>2.1</v>
      </c>
      <c r="C645" s="143">
        <v>1.1200000000000001</v>
      </c>
      <c r="D645" s="143">
        <f t="shared" si="4"/>
        <v>0</v>
      </c>
      <c r="E645" s="143">
        <f>3.55*0.55</f>
        <v>1.9525000000000001</v>
      </c>
      <c r="F645" s="143">
        <v>1.65</v>
      </c>
      <c r="G645" s="143">
        <v>1.78</v>
      </c>
      <c r="H645" s="143">
        <v>1.69</v>
      </c>
      <c r="I645" s="143">
        <v>3.84</v>
      </c>
      <c r="J645" s="145">
        <v>3.3636363636363638</v>
      </c>
      <c r="K645" s="145">
        <v>3.7181818181818183</v>
      </c>
      <c r="L645" s="143">
        <f>1.2203/0.45436</f>
        <v>2.6857557883616514</v>
      </c>
      <c r="M645" s="143">
        <f>3.35*0.55</f>
        <v>1.8425000000000002</v>
      </c>
      <c r="N645" s="143">
        <f>3.1*0.5</f>
        <v>1.55</v>
      </c>
      <c r="O645" s="143">
        <f>7.28*0.7709</f>
        <v>5.612152</v>
      </c>
      <c r="P645" s="143">
        <f>6.74*0.7709</f>
        <v>5.1958660000000005</v>
      </c>
      <c r="Q645" s="143">
        <f>4.616*0.716</f>
        <v>3.3050559999999995</v>
      </c>
    </row>
    <row r="646" spans="1:18" ht="24" customHeight="1" x14ac:dyDescent="0.2">
      <c r="A646" s="142" t="s">
        <v>680</v>
      </c>
      <c r="B646" s="143">
        <v>2.1</v>
      </c>
      <c r="C646" s="143">
        <v>1.18</v>
      </c>
      <c r="D646" s="143">
        <f t="shared" si="4"/>
        <v>0</v>
      </c>
      <c r="E646" s="143">
        <f>3.65*0.55</f>
        <v>2.0075000000000003</v>
      </c>
      <c r="F646" s="143">
        <v>1.72</v>
      </c>
      <c r="G646" s="143">
        <v>1.8</v>
      </c>
      <c r="H646" s="143">
        <v>1.71</v>
      </c>
      <c r="I646" s="143">
        <v>3.85</v>
      </c>
      <c r="J646" s="145">
        <v>3.24</v>
      </c>
      <c r="K646" s="145">
        <v>3.76</v>
      </c>
      <c r="L646" s="143">
        <f>1.2136/0.45436</f>
        <v>2.671009771986971</v>
      </c>
      <c r="M646" s="143">
        <f>3.45*0.55</f>
        <v>1.8975000000000002</v>
      </c>
      <c r="N646" s="143">
        <f>3.2*0.5</f>
        <v>1.6</v>
      </c>
      <c r="O646" s="143">
        <f>7.46*0.7768</f>
        <v>5.7949280000000005</v>
      </c>
      <c r="P646" s="143">
        <f>6.74*0.7768</f>
        <v>5.2356320000000007</v>
      </c>
      <c r="Q646" s="143">
        <f>4.616*0.7243</f>
        <v>3.3433687999999999</v>
      </c>
    </row>
    <row r="647" spans="1:18" ht="22.5" customHeight="1" x14ac:dyDescent="0.2">
      <c r="A647" s="142" t="s">
        <v>681</v>
      </c>
      <c r="B647" s="143">
        <v>2.11</v>
      </c>
      <c r="C647" s="143">
        <v>1.22</v>
      </c>
      <c r="D647" s="143">
        <f t="shared" si="4"/>
        <v>0</v>
      </c>
      <c r="E647" s="143">
        <f>3.75*0.55</f>
        <v>2.0625</v>
      </c>
      <c r="F647" s="143">
        <v>1.74</v>
      </c>
      <c r="G647" s="143">
        <v>1.85</v>
      </c>
      <c r="H647" s="143">
        <v>1.77</v>
      </c>
      <c r="I647" s="143">
        <v>3.9776500638569607</v>
      </c>
      <c r="J647" s="145">
        <v>3.3237547892720309</v>
      </c>
      <c r="K647" s="145">
        <v>4.0038314176245207</v>
      </c>
      <c r="L647" s="143">
        <f>1.1889/0.45436</f>
        <v>2.6166475922176251</v>
      </c>
      <c r="M647" s="143">
        <f>3.5*0.55</f>
        <v>1.9250000000000003</v>
      </c>
      <c r="N647" s="143">
        <f>3.25*0.5</f>
        <v>1.625</v>
      </c>
      <c r="O647" s="143">
        <f>7.6*0.7787</f>
        <v>5.9181199999999992</v>
      </c>
      <c r="P647" s="143">
        <f>7.06*0.7787</f>
        <v>5.4976219999999989</v>
      </c>
      <c r="Q647" s="143">
        <f>4.666*0.7239</f>
        <v>3.3777174000000003</v>
      </c>
    </row>
    <row r="648" spans="1:18" ht="21.75" customHeight="1" x14ac:dyDescent="0.2">
      <c r="A648" s="142" t="s">
        <v>682</v>
      </c>
      <c r="B648" s="143">
        <v>2.13</v>
      </c>
      <c r="C648" s="143">
        <v>1.1599999999999999</v>
      </c>
      <c r="D648" s="143">
        <f t="shared" si="4"/>
        <v>0</v>
      </c>
      <c r="E648" s="143">
        <f>3.85*0.55</f>
        <v>2.1175000000000002</v>
      </c>
      <c r="F648" s="143">
        <v>1.82</v>
      </c>
      <c r="G648" s="143">
        <v>1.98</v>
      </c>
      <c r="H648" s="143">
        <v>1.89</v>
      </c>
      <c r="I648" s="143">
        <v>3.95</v>
      </c>
      <c r="J648" s="145">
        <v>3.24</v>
      </c>
      <c r="K648" s="145">
        <v>3.89</v>
      </c>
      <c r="L648" s="143">
        <f>1.1836/0.45436</f>
        <v>2.6049828329958622</v>
      </c>
      <c r="M648" s="143">
        <f>3.4*0.55</f>
        <v>1.87</v>
      </c>
      <c r="N648" s="143">
        <f t="shared" ref="N648:N652" si="7">3.1*0.5</f>
        <v>1.55</v>
      </c>
      <c r="O648" s="143">
        <f>7.29*0.772</f>
        <v>5.6278800000000002</v>
      </c>
      <c r="P648" s="143">
        <f>7.04*0.772</f>
        <v>5.4348800000000006</v>
      </c>
      <c r="Q648" s="143">
        <f>4.706*0.7251</f>
        <v>3.4123206000000001</v>
      </c>
    </row>
    <row r="649" spans="1:18" ht="25.5" customHeight="1" x14ac:dyDescent="0.2">
      <c r="A649" s="142" t="s">
        <v>683</v>
      </c>
      <c r="B649" s="143" t="s">
        <v>620</v>
      </c>
      <c r="C649" s="143">
        <v>1</v>
      </c>
      <c r="D649" s="143">
        <f t="shared" si="4"/>
        <v>0</v>
      </c>
      <c r="E649" s="143">
        <f>3.88*0.55</f>
        <v>2.1339999999999999</v>
      </c>
      <c r="F649" s="143">
        <v>1.82</v>
      </c>
      <c r="G649" s="143">
        <v>2.0499999999999998</v>
      </c>
      <c r="H649" s="143">
        <v>1.9</v>
      </c>
      <c r="I649" s="143">
        <v>3.81</v>
      </c>
      <c r="J649" s="145">
        <v>3.15</v>
      </c>
      <c r="K649" s="145">
        <v>3.85</v>
      </c>
      <c r="L649" s="143">
        <f>1.1973/0.45436</f>
        <v>2.6351351351351351</v>
      </c>
      <c r="M649" s="143">
        <f>3.4*0.55</f>
        <v>1.87</v>
      </c>
      <c r="N649" s="143">
        <f t="shared" si="7"/>
        <v>1.55</v>
      </c>
      <c r="O649" s="143">
        <f>7.29*0.772</f>
        <v>5.6278800000000002</v>
      </c>
      <c r="P649" s="143">
        <f>7.04*0.772</f>
        <v>5.4348800000000006</v>
      </c>
      <c r="Q649" s="143">
        <f>4.706*0.7251</f>
        <v>3.4123206000000001</v>
      </c>
    </row>
    <row r="650" spans="1:18" ht="30" customHeight="1" x14ac:dyDescent="0.2">
      <c r="A650" s="142" t="s">
        <v>684</v>
      </c>
      <c r="B650" s="143" t="s">
        <v>620</v>
      </c>
      <c r="C650" s="143" t="s">
        <v>620</v>
      </c>
      <c r="D650" s="143">
        <f t="shared" si="4"/>
        <v>0</v>
      </c>
      <c r="E650" s="143">
        <f>3.9*0.55</f>
        <v>2.145</v>
      </c>
      <c r="F650" s="143">
        <v>1.83</v>
      </c>
      <c r="G650" s="143">
        <v>2.0099999999999998</v>
      </c>
      <c r="H650" s="143">
        <v>1.88</v>
      </c>
      <c r="I650" s="143">
        <v>4</v>
      </c>
      <c r="J650" s="145">
        <v>3.1770334928229671</v>
      </c>
      <c r="K650" s="145">
        <v>4.0382775119617227</v>
      </c>
      <c r="L650" s="143">
        <f>1.1972/0.45436</f>
        <v>2.6349150453384982</v>
      </c>
      <c r="M650" s="143">
        <f>3.4*0.55</f>
        <v>1.87</v>
      </c>
      <c r="N650" s="143">
        <f t="shared" si="7"/>
        <v>1.55</v>
      </c>
      <c r="O650" s="143">
        <f>7.35*0.7741</f>
        <v>5.689635</v>
      </c>
      <c r="P650" s="143">
        <f>6.99*0.7741</f>
        <v>5.4109590000000001</v>
      </c>
      <c r="Q650" s="143">
        <f>4.876*0.7296</f>
        <v>3.5575296000000005</v>
      </c>
    </row>
    <row r="651" spans="1:18" ht="25.5" customHeight="1" x14ac:dyDescent="0.2">
      <c r="A651" s="142" t="s">
        <v>685</v>
      </c>
      <c r="B651" s="143" t="s">
        <v>620</v>
      </c>
      <c r="C651" s="143">
        <v>1.1299999999999999</v>
      </c>
      <c r="D651" s="143">
        <f t="shared" si="4"/>
        <v>0</v>
      </c>
      <c r="E651" s="143">
        <f>3.9*0.55</f>
        <v>2.145</v>
      </c>
      <c r="F651" s="143">
        <v>1.83</v>
      </c>
      <c r="G651" s="143">
        <v>2.09</v>
      </c>
      <c r="H651" s="143">
        <v>1.95</v>
      </c>
      <c r="I651" s="143">
        <v>4.0599999999999996</v>
      </c>
      <c r="J651" s="145">
        <v>3.4653465346534653</v>
      </c>
      <c r="K651" s="145">
        <v>4.4653465346534658</v>
      </c>
      <c r="L651" s="143">
        <f>1.1964/0.45436</f>
        <v>2.6331543269654016</v>
      </c>
      <c r="M651" s="143">
        <f>3.4*0.55</f>
        <v>1.87</v>
      </c>
      <c r="N651" s="143">
        <f t="shared" si="7"/>
        <v>1.55</v>
      </c>
      <c r="O651" s="143">
        <f>7.51*0.7761</f>
        <v>5.8285109999999998</v>
      </c>
      <c r="P651" s="143">
        <f>7.05*0.7761</f>
        <v>5.4715049999999996</v>
      </c>
      <c r="Q651" s="143">
        <f>4.966*0.7246</f>
        <v>3.5983636000000003</v>
      </c>
    </row>
    <row r="652" spans="1:18" ht="25.5" customHeight="1" x14ac:dyDescent="0.2">
      <c r="A652" s="142" t="s">
        <v>686</v>
      </c>
      <c r="B652" s="143">
        <v>2.1800000000000002</v>
      </c>
      <c r="C652" s="143">
        <v>1.058546180159635</v>
      </c>
      <c r="D652" s="143">
        <f t="shared" si="4"/>
        <v>0</v>
      </c>
      <c r="E652" s="143">
        <f>3.9*0.55</f>
        <v>2.145</v>
      </c>
      <c r="F652" s="143">
        <v>1.86</v>
      </c>
      <c r="G652" s="143">
        <v>2.15</v>
      </c>
      <c r="H652" s="143">
        <v>2.0099999999999998</v>
      </c>
      <c r="I652" s="143">
        <v>4.13</v>
      </c>
      <c r="J652" s="145">
        <v>3.4765625</v>
      </c>
      <c r="K652" s="145">
        <v>4.51171875</v>
      </c>
      <c r="L652" s="143">
        <f>1.1992/0.45436</f>
        <v>2.6393168412712389</v>
      </c>
      <c r="M652" s="143">
        <f>3.45*0.55</f>
        <v>1.8975000000000002</v>
      </c>
      <c r="N652" s="143">
        <f t="shared" si="7"/>
        <v>1.55</v>
      </c>
      <c r="O652" s="143">
        <f>7.08*0.7744</f>
        <v>5.4827519999999996</v>
      </c>
      <c r="P652" s="143">
        <f>7.22*0.7744</f>
        <v>5.5911679999999997</v>
      </c>
      <c r="Q652" s="143">
        <f>5.056*0.7192</f>
        <v>3.6362751999999996</v>
      </c>
    </row>
    <row r="653" spans="1:18" ht="21.75" customHeight="1" x14ac:dyDescent="0.2">
      <c r="A653" s="142" t="s">
        <v>687</v>
      </c>
      <c r="B653" s="143">
        <v>2.08</v>
      </c>
      <c r="C653" s="143">
        <v>1</v>
      </c>
      <c r="D653" s="143">
        <f t="shared" si="4"/>
        <v>0</v>
      </c>
      <c r="E653" s="143">
        <f>3.93*0.55</f>
        <v>2.1615000000000002</v>
      </c>
      <c r="F653" s="143">
        <v>1.87</v>
      </c>
      <c r="G653" s="143">
        <v>2.17</v>
      </c>
      <c r="H653" s="143">
        <v>2.04</v>
      </c>
      <c r="I653" s="143">
        <v>4.1814595660749507</v>
      </c>
      <c r="J653" s="145">
        <v>3.4911242603550292</v>
      </c>
      <c r="K653" s="145">
        <v>4.3984220907297829</v>
      </c>
      <c r="L653" s="143">
        <f>1.2003/0.45436</f>
        <v>2.6417378290342457</v>
      </c>
      <c r="M653" s="143">
        <f>3.45*0.55</f>
        <v>1.8975000000000002</v>
      </c>
      <c r="N653" s="143">
        <f>3.2*0.5</f>
        <v>1.6</v>
      </c>
      <c r="O653" s="143">
        <f>7.42*0.7556</f>
        <v>5.6065520000000006</v>
      </c>
      <c r="P653" s="143">
        <f>7.16*0.7556</f>
        <v>5.4100960000000002</v>
      </c>
      <c r="Q653" s="143">
        <f>5.116*0.7013</f>
        <v>3.5878508</v>
      </c>
    </row>
    <row r="654" spans="1:18" ht="24.75" customHeight="1" x14ac:dyDescent="0.2">
      <c r="A654" s="142" t="s">
        <v>688</v>
      </c>
      <c r="B654" s="143">
        <v>2.09</v>
      </c>
      <c r="C654" s="143">
        <v>1.05</v>
      </c>
      <c r="D654" s="143">
        <f t="shared" si="4"/>
        <v>0</v>
      </c>
      <c r="E654" s="143">
        <f>3.93*0.55</f>
        <v>2.1615000000000002</v>
      </c>
      <c r="F654" s="143">
        <v>1.87</v>
      </c>
      <c r="G654" s="143">
        <v>2.27</v>
      </c>
      <c r="H654" s="143">
        <v>2.12</v>
      </c>
      <c r="I654" s="143">
        <v>4.29</v>
      </c>
      <c r="J654" s="145">
        <v>3.4545454545454546</v>
      </c>
      <c r="K654" s="145">
        <v>4.5050505050505052</v>
      </c>
      <c r="L654" s="143">
        <f>1.2284/0.45436</f>
        <v>2.7035830618892507</v>
      </c>
      <c r="M654" s="143">
        <f>3.45*0.55</f>
        <v>1.8975000000000002</v>
      </c>
      <c r="N654" s="143">
        <f>3.3*0.5</f>
        <v>1.65</v>
      </c>
      <c r="O654" s="143">
        <f>7.56*0.7585</f>
        <v>5.734259999999999</v>
      </c>
      <c r="P654" s="143">
        <f>7.32*0.7585</f>
        <v>5.5522200000000002</v>
      </c>
      <c r="Q654" s="143">
        <f>5.256*0.7068</f>
        <v>3.7149407999999999</v>
      </c>
      <c r="R654" s="146"/>
    </row>
    <row r="655" spans="1:18" ht="27.75" customHeight="1" x14ac:dyDescent="0.2">
      <c r="A655" s="142" t="s">
        <v>689</v>
      </c>
      <c r="B655" s="143">
        <v>2.06</v>
      </c>
      <c r="C655" s="143">
        <v>0.92</v>
      </c>
      <c r="D655" s="143">
        <f t="shared" si="4"/>
        <v>0</v>
      </c>
      <c r="E655" s="143">
        <f>3.95*0.55</f>
        <v>2.1725000000000003</v>
      </c>
      <c r="F655" s="143">
        <v>1.89</v>
      </c>
      <c r="G655" s="143">
        <v>2.29</v>
      </c>
      <c r="H655" s="143">
        <v>2.14</v>
      </c>
      <c r="I655" s="143">
        <v>4.17</v>
      </c>
      <c r="J655" s="145">
        <v>3.3874801901743266</v>
      </c>
      <c r="K655" s="145">
        <v>4.4175911251980979</v>
      </c>
      <c r="L655" s="143">
        <f>1.2547/0.45436</f>
        <v>2.7614666784047892</v>
      </c>
      <c r="M655" s="143">
        <f>3.5*0.55</f>
        <v>1.9250000000000003</v>
      </c>
      <c r="N655" s="143">
        <f>3.3*0.5</f>
        <v>1.65</v>
      </c>
      <c r="O655" s="143">
        <f>7.55*0.7475</f>
        <v>5.6436250000000001</v>
      </c>
      <c r="P655" s="143">
        <f>7.41*0.7475</f>
        <v>5.5389750000000006</v>
      </c>
      <c r="Q655" s="143">
        <f>5.336*0.6983</f>
        <v>3.7261288000000006</v>
      </c>
    </row>
    <row r="656" spans="1:18" ht="27" customHeight="1" x14ac:dyDescent="0.2">
      <c r="A656" s="142" t="s">
        <v>690</v>
      </c>
      <c r="B656" s="143">
        <v>2.02</v>
      </c>
      <c r="C656" s="143">
        <v>0.93</v>
      </c>
      <c r="D656" s="143">
        <f t="shared" si="4"/>
        <v>0</v>
      </c>
      <c r="E656" s="143">
        <f>3.97*0.55</f>
        <v>2.1835000000000004</v>
      </c>
      <c r="F656" s="143">
        <v>1.91</v>
      </c>
      <c r="G656" s="143">
        <v>2.0169999999999999</v>
      </c>
      <c r="H656" s="143">
        <v>2.04</v>
      </c>
      <c r="I656" s="143">
        <v>4.05</v>
      </c>
      <c r="J656" s="145">
        <v>3.2571428571428576</v>
      </c>
      <c r="K656" s="145">
        <v>4.2476190476190476</v>
      </c>
      <c r="L656" s="143">
        <f>1.2389/0.45436</f>
        <v>2.7266924905361387</v>
      </c>
      <c r="M656" s="143">
        <f>3.45*0.55</f>
        <v>1.8975000000000002</v>
      </c>
      <c r="N656" s="143">
        <f>3.2*0.5</f>
        <v>1.6</v>
      </c>
      <c r="O656" s="143">
        <f>7.63*0.7424</f>
        <v>5.6645119999999993</v>
      </c>
      <c r="P656" s="143">
        <f>7.16*0.7424</f>
        <v>5.3155839999999994</v>
      </c>
      <c r="Q656" s="143">
        <f>5.426*0.6943</f>
        <v>3.7672718000000001</v>
      </c>
    </row>
    <row r="657" spans="1:19" ht="24.75" customHeight="1" x14ac:dyDescent="0.2">
      <c r="A657" s="142" t="s">
        <v>691</v>
      </c>
      <c r="B657" s="143">
        <v>2.0299999999999998</v>
      </c>
      <c r="C657" s="143">
        <v>1.01</v>
      </c>
      <c r="D657" s="143">
        <f t="shared" si="4"/>
        <v>0</v>
      </c>
      <c r="E657" s="143">
        <f>4.1*0.55</f>
        <v>2.2549999999999999</v>
      </c>
      <c r="F657" s="143">
        <v>1.96</v>
      </c>
      <c r="G657" s="143">
        <v>2.21</v>
      </c>
      <c r="H657" s="143">
        <v>2.08</v>
      </c>
      <c r="I657" s="143">
        <v>4.17</v>
      </c>
      <c r="J657" s="145">
        <v>3.35</v>
      </c>
      <c r="K657" s="145">
        <v>4.37</v>
      </c>
      <c r="L657" s="143">
        <f>1.2216/0.45436</f>
        <v>2.6886169557179329</v>
      </c>
      <c r="M657" s="143">
        <f>3.5*0.55</f>
        <v>1.9250000000000003</v>
      </c>
      <c r="N657" s="143">
        <f>3.25*0.5</f>
        <v>1.625</v>
      </c>
      <c r="O657" s="143">
        <f>7.79*0.7408</f>
        <v>5.7708320000000004</v>
      </c>
      <c r="P657" s="143">
        <f>8.06*0.7408</f>
        <v>5.9708480000000002</v>
      </c>
      <c r="Q657" s="143">
        <f>5.496*0.7012</f>
        <v>3.8537952000000004</v>
      </c>
    </row>
    <row r="658" spans="1:19" ht="24.75" customHeight="1" x14ac:dyDescent="0.2">
      <c r="A658" s="142" t="s">
        <v>692</v>
      </c>
      <c r="B658" s="143">
        <v>2.04</v>
      </c>
      <c r="C658" s="143">
        <v>1.02</v>
      </c>
      <c r="D658" s="143">
        <f t="shared" si="4"/>
        <v>0</v>
      </c>
      <c r="E658" s="143">
        <f>4.2*0.55</f>
        <v>2.3100000000000005</v>
      </c>
      <c r="F658" s="143">
        <v>2</v>
      </c>
      <c r="G658" s="143">
        <v>2.15</v>
      </c>
      <c r="H658" s="143">
        <v>2.04</v>
      </c>
      <c r="I658" s="143">
        <v>4.08</v>
      </c>
      <c r="J658" s="145">
        <v>3.2307692307692308</v>
      </c>
      <c r="K658" s="145">
        <v>4.2115384615384608</v>
      </c>
      <c r="L658" s="143">
        <f>1.2282/0.45436</f>
        <v>2.7031428822959769</v>
      </c>
      <c r="M658" s="143">
        <f>3.6*0.55</f>
        <v>1.9800000000000002</v>
      </c>
      <c r="N658" s="143">
        <f>3.3*0.5</f>
        <v>1.65</v>
      </c>
      <c r="O658" s="143">
        <f>8.16*0.7372</f>
        <v>6.0155519999999996</v>
      </c>
      <c r="P658" s="143">
        <f>7.82*0.7372</f>
        <v>5.7649039999999996</v>
      </c>
      <c r="Q658" s="143">
        <f>5.556*0.6979</f>
        <v>3.8775323999999998</v>
      </c>
    </row>
    <row r="659" spans="1:19" ht="27" customHeight="1" x14ac:dyDescent="0.2">
      <c r="A659" s="142" t="s">
        <v>693</v>
      </c>
      <c r="B659" s="143">
        <v>2.04</v>
      </c>
      <c r="C659" s="143">
        <v>1.0900000000000001</v>
      </c>
      <c r="D659" s="143">
        <f t="shared" si="4"/>
        <v>0</v>
      </c>
      <c r="E659" s="143">
        <f>4.28*0.55</f>
        <v>2.3540000000000005</v>
      </c>
      <c r="F659" s="143">
        <v>2.0499999999999998</v>
      </c>
      <c r="G659" s="143">
        <v>2.14</v>
      </c>
      <c r="H659" s="143">
        <v>2.02</v>
      </c>
      <c r="I659" s="143">
        <v>4.0999999999999996</v>
      </c>
      <c r="J659" s="145">
        <v>3.2495164410058028</v>
      </c>
      <c r="K659" s="145">
        <v>4.3230174081237918</v>
      </c>
      <c r="L659" s="143">
        <f>1.2077/0.45436</f>
        <v>2.6580244739853862</v>
      </c>
      <c r="M659" s="143">
        <f>3.65*0.55</f>
        <v>2.0075000000000003</v>
      </c>
      <c r="N659" s="143">
        <f>3.4*0.5</f>
        <v>1.7</v>
      </c>
      <c r="O659" s="143">
        <f>8.16*0.7394</f>
        <v>6.0335039999999998</v>
      </c>
      <c r="P659" s="143">
        <f>7.9*0.73943</f>
        <v>5.8414970000000004</v>
      </c>
      <c r="Q659" s="143">
        <f>5.556*0.7012</f>
        <v>3.8958672000000001</v>
      </c>
    </row>
    <row r="660" spans="1:19" ht="24" customHeight="1" x14ac:dyDescent="0.2">
      <c r="A660" s="142" t="s">
        <v>694</v>
      </c>
      <c r="B660" s="143">
        <v>2.0499999999999998</v>
      </c>
      <c r="C660" s="143">
        <v>1.0840000000000001</v>
      </c>
      <c r="D660" s="143">
        <f t="shared" si="4"/>
        <v>0</v>
      </c>
      <c r="E660" s="143">
        <f>4.33*0.55</f>
        <v>2.3815000000000004</v>
      </c>
      <c r="F660" s="143">
        <v>2.1</v>
      </c>
      <c r="G660" s="143">
        <v>2.0499999999999998</v>
      </c>
      <c r="H660" s="143">
        <v>1.95</v>
      </c>
      <c r="I660" s="143">
        <v>4.0599999999999996</v>
      </c>
      <c r="J660" s="145">
        <v>3.225190839694656</v>
      </c>
      <c r="K660" s="145">
        <v>4.2748091603053426</v>
      </c>
      <c r="L660" s="143">
        <f>1.2168/0.45436</f>
        <v>2.6780526454793558</v>
      </c>
      <c r="M660" s="143">
        <f>3.75*0.55</f>
        <v>2.0625</v>
      </c>
      <c r="N660" s="143">
        <f>3.5*0.5</f>
        <v>1.75</v>
      </c>
      <c r="O660" s="143">
        <f>8.3*0.7406</f>
        <v>6.146980000000001</v>
      </c>
      <c r="P660" s="143">
        <f>7.72*0.7406</f>
        <v>5.7174320000000005</v>
      </c>
      <c r="Q660" s="143">
        <f>5.616*0.7061</f>
        <v>3.9654575999999997</v>
      </c>
    </row>
    <row r="661" spans="1:19" ht="21.75" customHeight="1" x14ac:dyDescent="0.2">
      <c r="A661" s="142" t="s">
        <v>695</v>
      </c>
      <c r="B661" s="143">
        <v>2.0499999999999998</v>
      </c>
      <c r="C661" s="143">
        <v>1.1000000000000001</v>
      </c>
      <c r="D661" s="143">
        <f t="shared" si="4"/>
        <v>0</v>
      </c>
      <c r="E661" s="143">
        <f>4.3*0.55</f>
        <v>2.3650000000000002</v>
      </c>
      <c r="F661" s="143">
        <v>2.0699999999999998</v>
      </c>
      <c r="G661" s="143">
        <v>2.0099999999999998</v>
      </c>
      <c r="H661" s="143">
        <v>1.93</v>
      </c>
      <c r="I661" s="143">
        <v>4</v>
      </c>
      <c r="J661" s="145">
        <v>3.2202743902439019</v>
      </c>
      <c r="K661" s="145">
        <v>4.2111280487804876</v>
      </c>
      <c r="L661" s="143">
        <f>1.2383/0.45436</f>
        <v>2.7253719517563164</v>
      </c>
      <c r="M661" s="143">
        <f>3.75*0.55</f>
        <v>2.0625</v>
      </c>
      <c r="N661" s="143">
        <f>3.45*0.5</f>
        <v>1.7250000000000001</v>
      </c>
      <c r="O661" s="143">
        <f>7.99*0.7372</f>
        <v>5.8902279999999996</v>
      </c>
      <c r="P661" s="143">
        <f>7.74*0.7372</f>
        <v>5.7059280000000001</v>
      </c>
      <c r="Q661" s="143">
        <f>5.716*0.704</f>
        <v>4.0240640000000001</v>
      </c>
    </row>
    <row r="662" spans="1:19" ht="30" customHeight="1" x14ac:dyDescent="0.2">
      <c r="A662" s="142" t="s">
        <v>696</v>
      </c>
      <c r="B662" s="143">
        <v>2.0499999999999998</v>
      </c>
      <c r="C662" s="143">
        <v>1.1299999999999999</v>
      </c>
      <c r="D662" s="143">
        <f t="shared" si="4"/>
        <v>0</v>
      </c>
      <c r="E662" s="143">
        <f>4.25*0.55</f>
        <v>2.3375000000000004</v>
      </c>
      <c r="F662" s="143">
        <v>2.06</v>
      </c>
      <c r="G662" s="143">
        <v>1.97</v>
      </c>
      <c r="H662" s="143">
        <v>1.9</v>
      </c>
      <c r="I662" s="143">
        <v>3.8693776956253854</v>
      </c>
      <c r="J662" s="145">
        <v>3.1238447319778184</v>
      </c>
      <c r="K662" s="145">
        <v>4.0850277264325321</v>
      </c>
      <c r="L662" s="143">
        <f>1.2328/0.45436</f>
        <v>2.7132670129412797</v>
      </c>
      <c r="M662" s="143">
        <f>3.75*0.55</f>
        <v>2.0625</v>
      </c>
      <c r="N662" s="143">
        <f>3.45*0.5</f>
        <v>1.7250000000000001</v>
      </c>
      <c r="O662" s="143">
        <f>7.92*0.716</f>
        <v>5.6707199999999993</v>
      </c>
      <c r="P662" s="143">
        <f>7.9*0.716</f>
        <v>5.6563999999999997</v>
      </c>
      <c r="Q662" s="143">
        <f>5.716*0.6839</f>
        <v>3.9091723999999997</v>
      </c>
    </row>
    <row r="663" spans="1:19" ht="30" customHeight="1" x14ac:dyDescent="0.2">
      <c r="A663" s="142" t="s">
        <v>697</v>
      </c>
      <c r="B663" s="143">
        <v>2.06</v>
      </c>
      <c r="C663" s="143">
        <v>1.1100000000000001</v>
      </c>
      <c r="D663" s="143">
        <f t="shared" si="4"/>
        <v>0</v>
      </c>
      <c r="E663" s="143">
        <f>4.25*0.55</f>
        <v>2.3375000000000004</v>
      </c>
      <c r="F663" s="143">
        <v>2.04</v>
      </c>
      <c r="G663" s="143">
        <v>1.94</v>
      </c>
      <c r="H663" s="143">
        <v>1.85</v>
      </c>
      <c r="I663" s="143">
        <v>4.01</v>
      </c>
      <c r="J663" s="145">
        <v>3.0576923076923075</v>
      </c>
      <c r="K663" s="145">
        <v>4.1826923076923075</v>
      </c>
      <c r="L663" s="143">
        <f>1.2547/0.45436</f>
        <v>2.7614666784047892</v>
      </c>
      <c r="M663" s="143">
        <f>3.85*0.55</f>
        <v>2.1175000000000002</v>
      </c>
      <c r="N663" s="143">
        <f>3.6*0.5</f>
        <v>1.8</v>
      </c>
      <c r="O663" s="143">
        <f>8.02*0.7316</f>
        <v>5.867432</v>
      </c>
      <c r="P663" s="143">
        <f>8.07*0.7316</f>
        <v>5.9040120000000007</v>
      </c>
      <c r="Q663" s="143">
        <f>5.7*0.7011</f>
        <v>3.99627</v>
      </c>
    </row>
    <row r="664" spans="1:19" ht="27.75" customHeight="1" x14ac:dyDescent="0.2">
      <c r="A664" s="142" t="s">
        <v>698</v>
      </c>
      <c r="B664" s="143">
        <v>2.0699999999999998</v>
      </c>
      <c r="C664" s="143">
        <v>1.1299999999999999</v>
      </c>
      <c r="D664" s="143">
        <f t="shared" si="4"/>
        <v>0</v>
      </c>
      <c r="E664" s="143">
        <f>4.23*0.55</f>
        <v>2.3265000000000002</v>
      </c>
      <c r="F664" s="143">
        <v>2.0299999999999998</v>
      </c>
      <c r="G664" s="143">
        <v>2.0099999999999998</v>
      </c>
      <c r="H664" s="143">
        <v>1.91</v>
      </c>
      <c r="I664" s="143">
        <v>3.92</v>
      </c>
      <c r="J664" s="145">
        <v>3.084040092521203</v>
      </c>
      <c r="K664" s="145">
        <v>4.3947571318427148</v>
      </c>
      <c r="L664" s="143">
        <f>1.2574/0.45436</f>
        <v>2.7674091029139891</v>
      </c>
      <c r="M664" s="143">
        <f>3.95*0.55</f>
        <v>2.1725000000000003</v>
      </c>
      <c r="N664" s="143">
        <f>3.7*0.5</f>
        <v>1.85</v>
      </c>
      <c r="O664" s="143">
        <f>7.87*0.7458</f>
        <v>5.8694459999999999</v>
      </c>
      <c r="P664" s="143">
        <f>7.61*0.7458</f>
        <v>5.6755380000000004</v>
      </c>
      <c r="Q664" s="143">
        <f>5.7*0.7166</f>
        <v>4.0846200000000001</v>
      </c>
    </row>
    <row r="665" spans="1:19" ht="26.25" customHeight="1" x14ac:dyDescent="0.2">
      <c r="A665" s="142" t="s">
        <v>699</v>
      </c>
      <c r="B665" s="143">
        <v>2.0699999999999998</v>
      </c>
      <c r="C665" s="143">
        <v>1.1140289758902897</v>
      </c>
      <c r="D665" s="143">
        <f t="shared" si="4"/>
        <v>0</v>
      </c>
      <c r="E665" s="143">
        <f>4.23*0.55</f>
        <v>2.3265000000000002</v>
      </c>
      <c r="F665" s="143">
        <v>2.0299999999999998</v>
      </c>
      <c r="G665" s="143">
        <v>2.0099999999999998</v>
      </c>
      <c r="H665" s="143">
        <v>1.91</v>
      </c>
      <c r="I665" s="143">
        <v>3.87</v>
      </c>
      <c r="J665" s="145">
        <v>3.0740037950664139</v>
      </c>
      <c r="K665" s="145">
        <v>4.3833017077798866</v>
      </c>
      <c r="L665" s="143">
        <f>1.2561/0.45436</f>
        <v>2.7645479355577076</v>
      </c>
      <c r="M665" s="143">
        <f>3.95*0.55</f>
        <v>2.1725000000000003</v>
      </c>
      <c r="N665" s="143">
        <f>3.7*0.5</f>
        <v>1.85</v>
      </c>
      <c r="O665" s="143">
        <f>8.44*0.7365</f>
        <v>6.2160599999999997</v>
      </c>
      <c r="P665" s="143">
        <f>7.83*0.7365</f>
        <v>5.7667950000000001</v>
      </c>
      <c r="Q665" s="143">
        <f>5.7*0.7123</f>
        <v>4.0601100000000008</v>
      </c>
    </row>
    <row r="666" spans="1:19" ht="26.25" customHeight="1" x14ac:dyDescent="0.2">
      <c r="A666" s="142" t="s">
        <v>700</v>
      </c>
      <c r="B666" s="143">
        <v>2.09</v>
      </c>
      <c r="C666" s="143">
        <v>1.1599999999999999</v>
      </c>
      <c r="D666" s="143">
        <f t="shared" si="4"/>
        <v>0</v>
      </c>
      <c r="E666" s="143">
        <f>4.33*0.55</f>
        <v>2.3815000000000004</v>
      </c>
      <c r="F666" s="143">
        <v>2.23</v>
      </c>
      <c r="G666" s="143">
        <v>1.96</v>
      </c>
      <c r="H666" s="143">
        <v>1.85</v>
      </c>
      <c r="I666" s="143">
        <v>3.84</v>
      </c>
      <c r="J666" s="145">
        <v>3.1132075471698113</v>
      </c>
      <c r="K666" s="145">
        <v>4.283018867924528</v>
      </c>
      <c r="L666" s="143">
        <f>1.2479/0.45436</f>
        <v>2.7465005722334714</v>
      </c>
      <c r="M666" s="143">
        <f>4*0.55</f>
        <v>2.2000000000000002</v>
      </c>
      <c r="N666" s="143">
        <f>3.75*0.5</f>
        <v>1.875</v>
      </c>
      <c r="O666" s="143">
        <f>8.17*0.7274</f>
        <v>5.9428580000000002</v>
      </c>
      <c r="P666" s="143">
        <f>7.97*0.7274</f>
        <v>5.7973780000000001</v>
      </c>
      <c r="Q666" s="143">
        <f>5.7*0.7041</f>
        <v>4.0133700000000001</v>
      </c>
    </row>
    <row r="667" spans="1:19" ht="24.75" customHeight="1" x14ac:dyDescent="0.2">
      <c r="A667" s="142" t="s">
        <v>701</v>
      </c>
      <c r="B667" s="143">
        <v>2.1</v>
      </c>
      <c r="C667" s="143">
        <v>1.1299999999999999</v>
      </c>
      <c r="D667" s="143">
        <f t="shared" si="4"/>
        <v>0</v>
      </c>
      <c r="E667" s="143">
        <f>4.42*0.55</f>
        <v>2.431</v>
      </c>
      <c r="F667" s="143">
        <v>2.25</v>
      </c>
      <c r="G667" s="143">
        <v>1.94</v>
      </c>
      <c r="H667" s="143">
        <v>1.83</v>
      </c>
      <c r="I667" s="143">
        <v>3.7328339575530589</v>
      </c>
      <c r="J667" s="145">
        <v>2.9588014981273409</v>
      </c>
      <c r="K667" s="145">
        <v>4.213483146067416</v>
      </c>
      <c r="L667" s="143">
        <f>1.2388/0.45436</f>
        <v>2.7264724007395014</v>
      </c>
      <c r="M667" s="143">
        <f>4.1*0.55</f>
        <v>2.2549999999999999</v>
      </c>
      <c r="N667" s="143">
        <f>3.85*0.5</f>
        <v>1.925</v>
      </c>
      <c r="O667" s="143">
        <f>8.34*0.7259</f>
        <v>6.0540060000000002</v>
      </c>
      <c r="P667" s="143">
        <f>8.01*0.7259</f>
        <v>5.8144589999999994</v>
      </c>
      <c r="Q667" s="143">
        <f>5.836*0.7016</f>
        <v>4.0945375999999998</v>
      </c>
    </row>
    <row r="668" spans="1:19" ht="27.75" customHeight="1" x14ac:dyDescent="0.2">
      <c r="A668" s="142" t="s">
        <v>702</v>
      </c>
      <c r="B668" s="143">
        <v>2.1</v>
      </c>
      <c r="C668" s="143">
        <v>1.1454151109158797</v>
      </c>
      <c r="D668" s="144">
        <f t="shared" si="4"/>
        <v>0</v>
      </c>
      <c r="E668" s="143">
        <f>4.55*0.55</f>
        <v>2.5024999999999999</v>
      </c>
      <c r="F668" s="143">
        <v>2.2999999999999998</v>
      </c>
      <c r="G668" s="143">
        <v>1.9</v>
      </c>
      <c r="H668" s="143">
        <v>1.78</v>
      </c>
      <c r="I668" s="143">
        <v>3.6329168997451675</v>
      </c>
      <c r="J668" s="145">
        <v>2.8528808502703709</v>
      </c>
      <c r="K668" s="145">
        <v>4.2327055752377394</v>
      </c>
      <c r="L668" s="143">
        <f>1.2364/0.45436</f>
        <v>2.7211902456202131</v>
      </c>
      <c r="M668" s="143">
        <f>4.05*0.55</f>
        <v>2.2275</v>
      </c>
      <c r="N668" s="143">
        <f>3.85*0.5</f>
        <v>1.925</v>
      </c>
      <c r="O668" s="143">
        <f>8.31*0.7268</f>
        <v>6.0397080000000001</v>
      </c>
      <c r="P668" s="143">
        <f>7.99*0.7268</f>
        <v>5.8071320000000002</v>
      </c>
      <c r="Q668" s="143">
        <f>5.856*0.6931</f>
        <v>4.0587936000000004</v>
      </c>
    </row>
    <row r="669" spans="1:19" ht="30" customHeight="1" x14ac:dyDescent="0.2">
      <c r="A669" s="142" t="s">
        <v>703</v>
      </c>
      <c r="B669" s="143">
        <v>2.11</v>
      </c>
      <c r="C669" s="143">
        <v>1.17</v>
      </c>
      <c r="D669" s="144">
        <f t="shared" si="4"/>
        <v>0</v>
      </c>
      <c r="E669" s="143">
        <f>4.65*0.55</f>
        <v>2.5575000000000006</v>
      </c>
      <c r="F669" s="143">
        <v>2.2400000000000002</v>
      </c>
      <c r="G669" s="143">
        <v>1.88</v>
      </c>
      <c r="H669" s="143">
        <v>1.74</v>
      </c>
      <c r="I669" s="143">
        <v>3.4</v>
      </c>
      <c r="J669" s="145">
        <v>2.7767695099818512</v>
      </c>
      <c r="K669" s="145">
        <v>4.1197822141560803</v>
      </c>
      <c r="L669" s="143">
        <f>1.2256/0.45436</f>
        <v>2.6974205475834143</v>
      </c>
      <c r="M669" s="143">
        <f>3.55*0.55</f>
        <v>1.9525000000000001</v>
      </c>
      <c r="N669" s="143">
        <f>3.3*0.5</f>
        <v>1.65</v>
      </c>
      <c r="O669" s="144" t="s">
        <v>132</v>
      </c>
      <c r="P669" s="144" t="s">
        <v>132</v>
      </c>
      <c r="Q669" s="143">
        <f>5.856*0.6932</f>
        <v>4.0593792000000004</v>
      </c>
      <c r="S669" s="40"/>
    </row>
    <row r="670" spans="1:19" ht="24" customHeight="1" x14ac:dyDescent="0.2">
      <c r="A670" s="142" t="s">
        <v>704</v>
      </c>
      <c r="B670" s="143">
        <v>2.11</v>
      </c>
      <c r="C670" s="143">
        <v>1.1599999999999999</v>
      </c>
      <c r="D670" s="144">
        <f t="shared" si="4"/>
        <v>0</v>
      </c>
      <c r="E670" s="143">
        <f>4.7*0.55</f>
        <v>2.5850000000000004</v>
      </c>
      <c r="F670" s="143">
        <v>2.2400000000000002</v>
      </c>
      <c r="G670" s="143">
        <v>1.78</v>
      </c>
      <c r="H670" s="143">
        <v>1.63</v>
      </c>
      <c r="I670" s="143">
        <v>3.28</v>
      </c>
      <c r="J670" s="145">
        <v>2.596330275229358</v>
      </c>
      <c r="K670" s="145">
        <v>3.9357798165137612</v>
      </c>
      <c r="L670" s="143">
        <f>1.2296/0.45436</f>
        <v>2.7062241394488953</v>
      </c>
      <c r="M670" s="143">
        <f>3.45*0.55</f>
        <v>1.8975000000000002</v>
      </c>
      <c r="N670" s="143">
        <f>3.2*0.5</f>
        <v>1.6</v>
      </c>
      <c r="O670" s="143">
        <f>8.7*0.7416</f>
        <v>6.4519199999999994</v>
      </c>
      <c r="P670" s="143">
        <f>8.51*0.7416</f>
        <v>6.3110160000000004</v>
      </c>
      <c r="Q670" s="143">
        <f>6.036*0.7069</f>
        <v>4.2668483999999998</v>
      </c>
    </row>
    <row r="671" spans="1:19" ht="22.5" customHeight="1" x14ac:dyDescent="0.2">
      <c r="A671" s="142" t="s">
        <v>705</v>
      </c>
      <c r="B671" s="143">
        <v>2.15</v>
      </c>
      <c r="C671" s="143">
        <v>1.2</v>
      </c>
      <c r="D671" s="144">
        <f t="shared" si="4"/>
        <v>0</v>
      </c>
      <c r="E671" s="143">
        <f>4.55*0.55</f>
        <v>2.5024999999999999</v>
      </c>
      <c r="F671" s="143">
        <v>2.2000000000000002</v>
      </c>
      <c r="G671" s="143">
        <v>1.73</v>
      </c>
      <c r="H671" s="143">
        <v>1.6</v>
      </c>
      <c r="I671" s="143">
        <v>3.09</v>
      </c>
      <c r="J671" s="145">
        <v>2.3876901308807925</v>
      </c>
      <c r="K671" s="145">
        <v>3.7318712415988684</v>
      </c>
      <c r="L671" s="143">
        <f>1.2384/0.45436</f>
        <v>2.7255920415529538</v>
      </c>
      <c r="M671" s="143">
        <f>3.45*0.55</f>
        <v>1.8975000000000002</v>
      </c>
      <c r="N671" s="143">
        <f>3.2*0.5</f>
        <v>1.6</v>
      </c>
      <c r="O671" s="143">
        <f>8.72*0.7485</f>
        <v>6.5269200000000014</v>
      </c>
      <c r="P671" s="143">
        <f>8.17*0.7485</f>
        <v>6.1152450000000007</v>
      </c>
      <c r="Q671" s="143">
        <f>6.126*0.7148</f>
        <v>4.3788648000000006</v>
      </c>
      <c r="S671" s="40"/>
    </row>
    <row r="672" spans="1:19" ht="21.75" customHeight="1" x14ac:dyDescent="0.2">
      <c r="A672" s="142" t="s">
        <v>706</v>
      </c>
      <c r="B672" s="143">
        <v>2.25</v>
      </c>
      <c r="C672" s="143">
        <v>1.24</v>
      </c>
      <c r="D672" s="144">
        <f t="shared" si="4"/>
        <v>0</v>
      </c>
      <c r="E672" s="143">
        <f>4.4*0.55</f>
        <v>2.4200000000000004</v>
      </c>
      <c r="F672" s="143">
        <v>2.13</v>
      </c>
      <c r="G672" s="143">
        <v>1.73</v>
      </c>
      <c r="H672" s="143">
        <v>1.64</v>
      </c>
      <c r="I672" s="143">
        <v>3.02</v>
      </c>
      <c r="J672" s="145">
        <v>2.2300884955752212</v>
      </c>
      <c r="K672" s="145">
        <v>3.716814159292035</v>
      </c>
      <c r="L672" s="143">
        <f>1.2439/0.45436</f>
        <v>2.73769698036799</v>
      </c>
      <c r="M672" s="143">
        <f>3.45*0.55</f>
        <v>1.8975000000000002</v>
      </c>
      <c r="N672" s="143">
        <f>3.2*0.5</f>
        <v>1.6</v>
      </c>
      <c r="O672" s="143">
        <f>8.72*0.7521</f>
        <v>6.5583120000000008</v>
      </c>
      <c r="P672" s="143">
        <f>8.35*0.7521</f>
        <v>6.2800349999999998</v>
      </c>
      <c r="Q672" s="143">
        <f>6.126*0.7147</f>
        <v>4.3782522000000004</v>
      </c>
    </row>
    <row r="673" spans="1:18" ht="23.25" customHeight="1" x14ac:dyDescent="0.2">
      <c r="A673" s="142" t="s">
        <v>707</v>
      </c>
      <c r="B673" s="143">
        <v>2.2999999999999998</v>
      </c>
      <c r="C673" s="143">
        <v>1.29</v>
      </c>
      <c r="D673" s="144">
        <f t="shared" si="4"/>
        <v>0</v>
      </c>
      <c r="E673" s="143">
        <f>4.2*0.55</f>
        <v>2.3100000000000005</v>
      </c>
      <c r="F673" s="143">
        <v>1.95</v>
      </c>
      <c r="G673" s="143">
        <v>1.72</v>
      </c>
      <c r="H673" s="143">
        <v>1.61</v>
      </c>
      <c r="I673" s="143">
        <v>3.16</v>
      </c>
      <c r="J673" s="145">
        <v>2.4593128390596743</v>
      </c>
      <c r="K673" s="145">
        <v>3.9511754068716094</v>
      </c>
      <c r="L673" s="143">
        <f>1.2629/0.45436</f>
        <v>2.7795140417290254</v>
      </c>
      <c r="M673" s="143">
        <f>3.65*0.55</f>
        <v>2.0075000000000003</v>
      </c>
      <c r="N673" s="143">
        <f>3.4*0.5</f>
        <v>1.7</v>
      </c>
      <c r="O673" s="143">
        <f>8.66*0.7397</f>
        <v>6.4058020000000004</v>
      </c>
      <c r="P673" s="143">
        <f>8.14*0.7397</f>
        <v>6.0211580000000007</v>
      </c>
      <c r="Q673" s="143">
        <f>6.126*0.7119</f>
        <v>4.3610994000000005</v>
      </c>
    </row>
    <row r="674" spans="1:18" ht="22.5" customHeight="1" x14ac:dyDescent="0.2">
      <c r="A674" s="142" t="s">
        <v>708</v>
      </c>
      <c r="B674" s="143">
        <v>2.3199999999999998</v>
      </c>
      <c r="C674" s="143">
        <v>1.3</v>
      </c>
      <c r="D674" s="144">
        <f t="shared" si="4"/>
        <v>0</v>
      </c>
      <c r="E674" s="143">
        <f>4.15*0.55</f>
        <v>2.2825000000000002</v>
      </c>
      <c r="F674" s="143">
        <v>1.98</v>
      </c>
      <c r="G674" s="143">
        <v>1.79</v>
      </c>
      <c r="H674" s="143">
        <v>1.7</v>
      </c>
      <c r="I674" s="143">
        <v>3.48</v>
      </c>
      <c r="J674" s="145">
        <v>2.7106227106227108</v>
      </c>
      <c r="K674" s="145">
        <v>4.2307692307692308</v>
      </c>
      <c r="L674" s="143">
        <f>1.2923/0.45436</f>
        <v>2.8442204419403119</v>
      </c>
      <c r="M674" s="143">
        <f>3.6*0.55</f>
        <v>1.9800000000000002</v>
      </c>
      <c r="N674" s="143">
        <f>3.3*0.5</f>
        <v>1.65</v>
      </c>
      <c r="O674" s="143">
        <f>8.92*0.731</f>
        <v>6.5205199999999994</v>
      </c>
      <c r="P674" s="143">
        <f>8.32*0.731</f>
        <v>6.0819200000000002</v>
      </c>
      <c r="Q674" s="143">
        <f>6.106*0.7031</f>
        <v>4.2931285999999993</v>
      </c>
    </row>
    <row r="675" spans="1:18" ht="23.25" customHeight="1" x14ac:dyDescent="0.2">
      <c r="A675" s="142" t="s">
        <v>709</v>
      </c>
      <c r="B675" s="143">
        <v>2.5</v>
      </c>
      <c r="C675" s="143">
        <v>1.33</v>
      </c>
      <c r="D675" s="144">
        <f t="shared" si="4"/>
        <v>0</v>
      </c>
      <c r="E675" s="143">
        <f>4*0.55</f>
        <v>2.2000000000000002</v>
      </c>
      <c r="F675" s="143">
        <v>1.93</v>
      </c>
      <c r="G675" s="143">
        <v>1.83</v>
      </c>
      <c r="H675" s="143">
        <v>1.74</v>
      </c>
      <c r="I675" s="143">
        <v>3.74</v>
      </c>
      <c r="J675" s="145">
        <v>2.8571428571428572</v>
      </c>
      <c r="K675" s="145">
        <v>4.1250000000000009</v>
      </c>
      <c r="L675" s="143">
        <f>1.3147/0.45436</f>
        <v>2.8935205563870059</v>
      </c>
      <c r="M675" s="143">
        <f>3.7*0.55</f>
        <v>2.0350000000000001</v>
      </c>
      <c r="N675" s="143">
        <f>3.4*0.5</f>
        <v>1.7</v>
      </c>
      <c r="O675" s="143">
        <f>9.09*0.7263</f>
        <v>6.602066999999999</v>
      </c>
      <c r="P675" s="143">
        <f>8.38*0.7263</f>
        <v>6.0863940000000003</v>
      </c>
      <c r="Q675" s="143">
        <f>6.106*0.702</f>
        <v>4.2864119999999994</v>
      </c>
    </row>
    <row r="676" spans="1:18" ht="24.75" customHeight="1" x14ac:dyDescent="0.2">
      <c r="A676" s="142" t="s">
        <v>710</v>
      </c>
      <c r="B676" s="143">
        <v>2.5499999999999998</v>
      </c>
      <c r="C676" s="143">
        <v>1.33</v>
      </c>
      <c r="D676" s="144">
        <f t="shared" si="4"/>
        <v>0</v>
      </c>
      <c r="E676" s="143">
        <f>3.95*0.55</f>
        <v>2.1725000000000003</v>
      </c>
      <c r="F676" s="143">
        <v>1.93</v>
      </c>
      <c r="G676" s="143">
        <v>1.84</v>
      </c>
      <c r="H676" s="143">
        <v>1.74</v>
      </c>
      <c r="I676" s="143">
        <v>3.77</v>
      </c>
      <c r="J676" s="145">
        <v>2.8392857142857144</v>
      </c>
      <c r="K676" s="145">
        <v>4.1875</v>
      </c>
      <c r="L676" s="143">
        <f>1.3311/0.45436</f>
        <v>2.9296152830354782</v>
      </c>
      <c r="M676" s="143">
        <f>3.75*0.55</f>
        <v>2.0625</v>
      </c>
      <c r="N676" s="143">
        <f>3.45*0.5</f>
        <v>1.7250000000000001</v>
      </c>
      <c r="O676" s="143">
        <f>8.65*0.7145</f>
        <v>6.1804250000000005</v>
      </c>
      <c r="P676" s="143">
        <f>8.44*0.7145</f>
        <v>6.0303800000000001</v>
      </c>
      <c r="Q676" s="143">
        <f>6.106*0.6818</f>
        <v>4.1630707999999998</v>
      </c>
    </row>
    <row r="677" spans="1:18" ht="24.75" customHeight="1" x14ac:dyDescent="0.2">
      <c r="A677" s="142" t="s">
        <v>711</v>
      </c>
      <c r="B677" s="143">
        <v>2.5499999999999998</v>
      </c>
      <c r="C677" s="143">
        <v>1.36</v>
      </c>
      <c r="D677" s="144">
        <f t="shared" si="4"/>
        <v>0</v>
      </c>
      <c r="E677" s="143">
        <f>4*0.55</f>
        <v>2.2000000000000002</v>
      </c>
      <c r="F677" s="143">
        <v>1.93</v>
      </c>
      <c r="G677" s="143">
        <v>1.93</v>
      </c>
      <c r="H677" s="143">
        <v>1.8</v>
      </c>
      <c r="I677" s="143">
        <v>3.8280329799764425</v>
      </c>
      <c r="J677" s="145">
        <v>2.7208480565371023</v>
      </c>
      <c r="K677" s="145">
        <v>4.1872791519434625</v>
      </c>
      <c r="L677" s="143">
        <f>1.3817/0.45436</f>
        <v>3.0409807201338146</v>
      </c>
      <c r="M677" s="143">
        <f>3.85*0.55</f>
        <v>2.1175000000000002</v>
      </c>
      <c r="N677" s="143">
        <f>3.55*0.5</f>
        <v>1.7749999999999999</v>
      </c>
      <c r="O677" s="143">
        <f>9.33*0.7001</f>
        <v>6.5319329999999995</v>
      </c>
      <c r="P677" s="143">
        <f>8.51*0.7001</f>
        <v>5.9578509999999998</v>
      </c>
      <c r="Q677" s="143">
        <f>6.036*0.675</f>
        <v>4.0743</v>
      </c>
    </row>
    <row r="678" spans="1:18" ht="26.25" customHeight="1" x14ac:dyDescent="0.2">
      <c r="A678" s="142" t="s">
        <v>712</v>
      </c>
      <c r="B678" s="143">
        <v>2.5499999999999998</v>
      </c>
      <c r="C678" s="143">
        <v>1.4</v>
      </c>
      <c r="D678" s="144">
        <f t="shared" si="4"/>
        <v>0</v>
      </c>
      <c r="E678" s="143">
        <f>4.15*0.55</f>
        <v>2.2825000000000002</v>
      </c>
      <c r="F678" s="143">
        <v>1.99</v>
      </c>
      <c r="G678" s="143">
        <v>1.92</v>
      </c>
      <c r="H678" s="143">
        <v>1.82</v>
      </c>
      <c r="I678" s="143">
        <v>3.7076648841354722</v>
      </c>
      <c r="J678" s="145">
        <v>2.5133689839572191</v>
      </c>
      <c r="K678" s="145">
        <v>4.2424242424242422</v>
      </c>
      <c r="L678" s="143">
        <f>1.4044/0.45436</f>
        <v>3.0909411039704202</v>
      </c>
      <c r="M678" s="143">
        <f>3.85*0.55</f>
        <v>2.1175000000000002</v>
      </c>
      <c r="N678" s="143">
        <f>3.6*0.5</f>
        <v>1.8</v>
      </c>
      <c r="O678" s="143">
        <f>9.42*0.7171</f>
        <v>6.7550819999999998</v>
      </c>
      <c r="P678" s="143">
        <f>8.65*0.7171</f>
        <v>6.202915</v>
      </c>
      <c r="Q678" s="143">
        <f>6.026*0.6796</f>
        <v>4.0952696</v>
      </c>
    </row>
    <row r="679" spans="1:18" ht="23.25" customHeight="1" x14ac:dyDescent="0.2">
      <c r="A679" s="142" t="s">
        <v>713</v>
      </c>
      <c r="B679" s="143">
        <v>2.5499999999999998</v>
      </c>
      <c r="C679" s="143">
        <v>1.46</v>
      </c>
      <c r="D679" s="144">
        <f t="shared" si="4"/>
        <v>0</v>
      </c>
      <c r="E679" s="143">
        <f>4.23*0.55</f>
        <v>2.3265000000000002</v>
      </c>
      <c r="F679" s="143">
        <v>2.0099999999999998</v>
      </c>
      <c r="G679" s="143">
        <v>1.92</v>
      </c>
      <c r="H679" s="143">
        <v>1.8</v>
      </c>
      <c r="I679" s="143">
        <v>3.72</v>
      </c>
      <c r="J679" s="145">
        <v>2.517605633802817</v>
      </c>
      <c r="K679" s="145">
        <v>4.2429577464788739</v>
      </c>
      <c r="L679" s="143">
        <f>1.3969/0.45436</f>
        <v>3.0744343692226428</v>
      </c>
      <c r="M679" s="143">
        <f>3.85*0.55</f>
        <v>2.1175000000000002</v>
      </c>
      <c r="N679" s="143">
        <f>3.6*0.5</f>
        <v>1.8</v>
      </c>
      <c r="O679" s="143">
        <f>9.63*0.7158</f>
        <v>6.8931540000000009</v>
      </c>
      <c r="P679" s="143">
        <f>8.41*0.7158</f>
        <v>6.0198780000000003</v>
      </c>
      <c r="Q679" s="143">
        <f>6.026*0.6764</f>
        <v>4.0759863999999997</v>
      </c>
    </row>
    <row r="680" spans="1:18" ht="19.5" customHeight="1" x14ac:dyDescent="0.2">
      <c r="A680" s="142" t="s">
        <v>714</v>
      </c>
      <c r="B680" s="143">
        <v>2.5499999999999998</v>
      </c>
      <c r="C680" s="143">
        <v>1.48</v>
      </c>
      <c r="D680" s="144">
        <f t="shared" si="4"/>
        <v>0</v>
      </c>
      <c r="E680" s="143">
        <f>4.35*0.55</f>
        <v>2.3925000000000001</v>
      </c>
      <c r="F680" s="143">
        <v>2.02</v>
      </c>
      <c r="G680" s="143">
        <v>1.89</v>
      </c>
      <c r="H680" s="143">
        <v>1.78</v>
      </c>
      <c r="I680" s="143">
        <v>3.86</v>
      </c>
      <c r="J680" s="145">
        <v>2.52</v>
      </c>
      <c r="K680" s="145">
        <v>4.26</v>
      </c>
      <c r="L680" s="143">
        <f>1.3719/0.45436</f>
        <v>3.0194119200633858</v>
      </c>
      <c r="M680" s="143">
        <f>3.75*0.55</f>
        <v>2.0625</v>
      </c>
      <c r="N680" s="143">
        <f>3.45*0.5</f>
        <v>1.7250000000000001</v>
      </c>
      <c r="O680" s="143" t="s">
        <v>501</v>
      </c>
      <c r="P680" s="143" t="s">
        <v>501</v>
      </c>
      <c r="Q680" s="143" t="s">
        <v>501</v>
      </c>
    </row>
    <row r="681" spans="1:18" ht="22.5" customHeight="1" x14ac:dyDescent="0.2">
      <c r="A681" s="142" t="s">
        <v>715</v>
      </c>
      <c r="B681" s="143">
        <v>2.54</v>
      </c>
      <c r="C681" s="143">
        <v>1.46</v>
      </c>
      <c r="D681" s="144">
        <f t="shared" ref="D681:D691" si="8">+D679-D676</f>
        <v>0</v>
      </c>
      <c r="E681" s="143">
        <f>4.37*0.55</f>
        <v>2.4035000000000002</v>
      </c>
      <c r="F681" s="143">
        <v>2</v>
      </c>
      <c r="G681" s="143">
        <v>1.94</v>
      </c>
      <c r="H681" s="143">
        <v>1.86</v>
      </c>
      <c r="I681" s="143">
        <v>3.95</v>
      </c>
      <c r="J681" s="145">
        <v>2.8161434977578472</v>
      </c>
      <c r="K681" s="145">
        <v>4.8161434977578477</v>
      </c>
      <c r="L681" s="143">
        <f>1.3564/0.45436</f>
        <v>2.9852980015846469</v>
      </c>
      <c r="M681" s="143">
        <f>3.72*0.55</f>
        <v>2.0460000000000003</v>
      </c>
      <c r="N681" s="143">
        <f>3.4*0.5</f>
        <v>1.7</v>
      </c>
      <c r="O681" s="143" t="s">
        <v>501</v>
      </c>
      <c r="P681" s="143" t="s">
        <v>501</v>
      </c>
      <c r="Q681" s="143" t="s">
        <v>501</v>
      </c>
    </row>
    <row r="682" spans="1:18" ht="34.5" customHeight="1" x14ac:dyDescent="0.2">
      <c r="A682" s="148" t="s">
        <v>716</v>
      </c>
      <c r="B682" s="149">
        <v>2.56</v>
      </c>
      <c r="C682" s="149">
        <v>1.5580000000000001</v>
      </c>
      <c r="D682" s="150">
        <f t="shared" si="8"/>
        <v>0</v>
      </c>
      <c r="E682" s="149">
        <f>4.33*0.55</f>
        <v>2.3815000000000004</v>
      </c>
      <c r="F682" s="149">
        <v>1.98</v>
      </c>
      <c r="G682" s="149">
        <v>1.94</v>
      </c>
      <c r="H682" s="149">
        <v>1.85</v>
      </c>
      <c r="I682" s="149">
        <v>4</v>
      </c>
      <c r="J682" s="151">
        <v>2.7886323268206037</v>
      </c>
      <c r="K682" s="151">
        <v>4.6447602131438721</v>
      </c>
      <c r="L682" s="149">
        <f>1.3959/0.45436</f>
        <v>3.0722334712562724</v>
      </c>
      <c r="M682" s="149">
        <f>3.75*0.55</f>
        <v>2.0625</v>
      </c>
      <c r="N682" s="149">
        <f>3.4*0.5</f>
        <v>1.7</v>
      </c>
      <c r="O682" s="149" t="s">
        <v>501</v>
      </c>
      <c r="P682" s="149" t="s">
        <v>501</v>
      </c>
      <c r="Q682" s="149">
        <f>5.99*0.6777</f>
        <v>4.0594229999999998</v>
      </c>
    </row>
    <row r="683" spans="1:18" ht="30.75" customHeight="1" x14ac:dyDescent="0.2">
      <c r="A683" s="148" t="s">
        <v>717</v>
      </c>
      <c r="B683" s="149">
        <v>2.57</v>
      </c>
      <c r="C683" s="149">
        <v>1.55</v>
      </c>
      <c r="D683" s="150">
        <f t="shared" si="8"/>
        <v>0</v>
      </c>
      <c r="E683" s="149">
        <f>4.33*0.55</f>
        <v>2.3815000000000004</v>
      </c>
      <c r="F683" s="149">
        <v>1.98</v>
      </c>
      <c r="G683" s="149">
        <v>1.99</v>
      </c>
      <c r="H683" s="149">
        <v>1.91</v>
      </c>
      <c r="I683" s="149">
        <v>4.04</v>
      </c>
      <c r="J683" s="151">
        <v>2.8985507246376816</v>
      </c>
      <c r="K683" s="151">
        <v>4.6739130434782616</v>
      </c>
      <c r="L683" s="149">
        <f>1.3841/0.45436</f>
        <v>3.0462628752531038</v>
      </c>
      <c r="M683" s="149">
        <f>3.8*0.55</f>
        <v>2.09</v>
      </c>
      <c r="N683" s="149">
        <f>3.55*0.5</f>
        <v>1.7749999999999999</v>
      </c>
      <c r="O683" s="149" t="s">
        <v>501</v>
      </c>
      <c r="P683" s="149" t="s">
        <v>501</v>
      </c>
      <c r="Q683" s="149">
        <f>5.95*0.6837</f>
        <v>4.0680149999999999</v>
      </c>
    </row>
    <row r="684" spans="1:18" ht="33.75" customHeight="1" x14ac:dyDescent="0.2">
      <c r="A684" s="148" t="s">
        <v>718</v>
      </c>
      <c r="B684" s="149">
        <v>2.56</v>
      </c>
      <c r="C684" s="149">
        <v>1.5746361746361748</v>
      </c>
      <c r="D684" s="150">
        <f t="shared" si="8"/>
        <v>0</v>
      </c>
      <c r="E684" s="149">
        <f>4.35*0.55</f>
        <v>2.3925000000000001</v>
      </c>
      <c r="F684" s="149">
        <v>1.99</v>
      </c>
      <c r="G684" s="149">
        <v>2</v>
      </c>
      <c r="H684" s="149">
        <v>1.91</v>
      </c>
      <c r="I684" s="149">
        <v>4.1391941391941396</v>
      </c>
      <c r="J684" s="151">
        <v>3.1868131868131866</v>
      </c>
      <c r="K684" s="151">
        <v>4.4597069597069599</v>
      </c>
      <c r="L684" s="149">
        <f>1.3661/0.45436</f>
        <v>3.0066467118584383</v>
      </c>
      <c r="M684" s="149">
        <f>3.8*0.55</f>
        <v>2.09</v>
      </c>
      <c r="N684" s="149">
        <f>3.55*0.5</f>
        <v>1.7749999999999999</v>
      </c>
      <c r="O684" s="149">
        <f>8.9*0.7185</f>
        <v>6.3946500000000004</v>
      </c>
      <c r="P684" s="149">
        <f>8.29*0.7185</f>
        <v>5.9563649999999999</v>
      </c>
      <c r="Q684" s="149">
        <f>5.9*0.672</f>
        <v>3.9648000000000003</v>
      </c>
      <c r="R684" s="146"/>
    </row>
    <row r="685" spans="1:18" ht="27" customHeight="1" x14ac:dyDescent="0.2">
      <c r="A685" s="148" t="s">
        <v>719</v>
      </c>
      <c r="B685" s="149">
        <v>2.57</v>
      </c>
      <c r="C685" s="149">
        <v>1.6805227743271223</v>
      </c>
      <c r="D685" s="150">
        <f t="shared" si="8"/>
        <v>0</v>
      </c>
      <c r="E685" s="149">
        <f>4.38*0.55</f>
        <v>2.4090000000000003</v>
      </c>
      <c r="F685" s="149">
        <v>1.98</v>
      </c>
      <c r="G685" s="149">
        <v>2.02</v>
      </c>
      <c r="H685" s="149">
        <v>2</v>
      </c>
      <c r="I685" s="149">
        <v>4.2</v>
      </c>
      <c r="J685" s="151">
        <v>3.0555555555555554</v>
      </c>
      <c r="K685" s="151">
        <v>4.2314814814814818</v>
      </c>
      <c r="L685" s="149">
        <f>1.375/0.45436</f>
        <v>3.0262347037591337</v>
      </c>
      <c r="M685" s="149">
        <f>3.7*0.55</f>
        <v>2.0350000000000001</v>
      </c>
      <c r="N685" s="149">
        <f>3.35*0.5</f>
        <v>1.675</v>
      </c>
      <c r="O685" s="149">
        <f>9.15*0.6983</f>
        <v>6.3894450000000003</v>
      </c>
      <c r="P685" s="149">
        <f>8.28*0.6983</f>
        <v>5.7819240000000001</v>
      </c>
      <c r="Q685" s="149">
        <f>5.886*0.6553</f>
        <v>3.8570958000000002</v>
      </c>
    </row>
    <row r="686" spans="1:18" ht="30" customHeight="1" x14ac:dyDescent="0.2">
      <c r="A686" s="148" t="s">
        <v>720</v>
      </c>
      <c r="B686" s="149">
        <v>2.56</v>
      </c>
      <c r="C686" s="149">
        <v>1.67</v>
      </c>
      <c r="D686" s="150">
        <f t="shared" si="8"/>
        <v>0</v>
      </c>
      <c r="E686" s="149">
        <f>4.55*0.55</f>
        <v>2.5024999999999999</v>
      </c>
      <c r="F686" s="149">
        <v>2.12</v>
      </c>
      <c r="G686" s="149">
        <v>2.08</v>
      </c>
      <c r="H686" s="149">
        <v>1.95</v>
      </c>
      <c r="I686" s="149">
        <v>4.18</v>
      </c>
      <c r="J686" s="151">
        <v>3.0206378986866795</v>
      </c>
      <c r="K686" s="151">
        <v>4.7185741088180109</v>
      </c>
      <c r="L686" s="149">
        <f>1.3695/0.45436</f>
        <v>3.014129764944097</v>
      </c>
      <c r="M686" s="149">
        <f>3.75*0.55</f>
        <v>2.0625</v>
      </c>
      <c r="N686" s="149">
        <f>3.45*0.5</f>
        <v>1.7250000000000001</v>
      </c>
      <c r="O686" s="149">
        <f>9.44*0.70705</f>
        <v>6.6745519999999994</v>
      </c>
      <c r="P686" s="149">
        <f>8.34*0.70705</f>
        <v>5.8967969999999994</v>
      </c>
      <c r="Q686" s="149">
        <f>5.886*0.6633</f>
        <v>3.9041838000000002</v>
      </c>
    </row>
    <row r="687" spans="1:18" ht="30.75" customHeight="1" x14ac:dyDescent="0.2">
      <c r="A687" s="148" t="s">
        <v>721</v>
      </c>
      <c r="B687" s="149">
        <v>2.57</v>
      </c>
      <c r="C687" s="149">
        <v>1.67</v>
      </c>
      <c r="D687" s="150">
        <f t="shared" si="8"/>
        <v>0</v>
      </c>
      <c r="E687" s="149">
        <f>4.65*0.55</f>
        <v>2.5575000000000006</v>
      </c>
      <c r="F687" s="149">
        <v>2.13</v>
      </c>
      <c r="G687" s="149">
        <v>2.06</v>
      </c>
      <c r="H687" s="149">
        <v>1.97</v>
      </c>
      <c r="I687" s="149">
        <v>4.34</v>
      </c>
      <c r="J687" s="151">
        <v>3.2952380952380955</v>
      </c>
      <c r="K687" s="151">
        <v>4.8095238095238093</v>
      </c>
      <c r="L687" s="149">
        <f>1.3976/0.45436</f>
        <v>3.075974997799102</v>
      </c>
      <c r="M687" s="149">
        <f>3.8*0.55</f>
        <v>2.09</v>
      </c>
      <c r="N687" s="149">
        <f>3.6*0.5</f>
        <v>1.8</v>
      </c>
      <c r="O687" s="149">
        <f>9.17*0.7134</f>
        <v>6.5418780000000005</v>
      </c>
      <c r="P687" s="149">
        <f>8.05*0.7134</f>
        <v>5.7428700000000008</v>
      </c>
      <c r="Q687" s="149">
        <f>5.826*0.664</f>
        <v>3.8684639999999999</v>
      </c>
    </row>
    <row r="688" spans="1:18" ht="27" customHeight="1" x14ac:dyDescent="0.2">
      <c r="A688" s="148" t="s">
        <v>722</v>
      </c>
      <c r="B688" s="149">
        <v>2.59</v>
      </c>
      <c r="C688" s="149">
        <v>1.6792022357723575</v>
      </c>
      <c r="D688" s="150">
        <f t="shared" si="8"/>
        <v>0</v>
      </c>
      <c r="E688" s="149">
        <f>4.83*0.55</f>
        <v>2.6565000000000003</v>
      </c>
      <c r="F688" s="149">
        <v>2.16</v>
      </c>
      <c r="G688" s="149">
        <v>2.06</v>
      </c>
      <c r="H688" s="149">
        <v>1.96</v>
      </c>
      <c r="I688" s="149">
        <v>4.4000000000000004</v>
      </c>
      <c r="J688" s="151">
        <v>3.3657587548638137</v>
      </c>
      <c r="K688" s="151">
        <v>4.9027237354085607</v>
      </c>
      <c r="L688" s="149">
        <f>1.4048/0.45436</f>
        <v>3.0918214631569683</v>
      </c>
      <c r="M688" s="149">
        <f>3.9*0.55</f>
        <v>2.145</v>
      </c>
      <c r="N688" s="149">
        <f>3.75*0.5</f>
        <v>1.875</v>
      </c>
      <c r="O688" s="149">
        <f>9.1754*0.7175</f>
        <v>6.5833494999999997</v>
      </c>
      <c r="P688" s="149">
        <f>8.36*0.7175</f>
        <v>5.9982999999999995</v>
      </c>
      <c r="Q688" s="149">
        <f>5.826*0.6695</f>
        <v>3.9005069999999997</v>
      </c>
    </row>
    <row r="689" spans="1:17" ht="23.25" customHeight="1" x14ac:dyDescent="0.2">
      <c r="A689" s="148" t="s">
        <v>723</v>
      </c>
      <c r="B689" s="149">
        <v>2.7</v>
      </c>
      <c r="C689" s="149">
        <v>1.6925905432595572</v>
      </c>
      <c r="D689" s="150">
        <f t="shared" si="8"/>
        <v>0</v>
      </c>
      <c r="E689" s="149">
        <f>4.93*0.55</f>
        <v>2.7115</v>
      </c>
      <c r="F689" s="149">
        <v>2.2999999999999998</v>
      </c>
      <c r="G689" s="149">
        <v>2.14</v>
      </c>
      <c r="H689" s="149">
        <v>2.0099999999999998</v>
      </c>
      <c r="I689" s="149">
        <v>4.4000000000000004</v>
      </c>
      <c r="J689" s="151">
        <v>3.2815533980582519</v>
      </c>
      <c r="K689" s="151">
        <v>4.8446601941747565</v>
      </c>
      <c r="L689" s="149">
        <f>1.4236/0.45436</f>
        <v>3.1331983449247294</v>
      </c>
      <c r="M689" s="149">
        <f>4*0.55</f>
        <v>2.2000000000000002</v>
      </c>
      <c r="N689" s="149">
        <f>3.75*0.5</f>
        <v>1.875</v>
      </c>
      <c r="O689" s="149">
        <f>9.28*0.7211</f>
        <v>6.6918079999999991</v>
      </c>
      <c r="P689" s="149">
        <f>8.68*0.7211</f>
        <v>6.2591479999999997</v>
      </c>
      <c r="Q689" s="149">
        <f>5.756*0.6734</f>
        <v>3.8760904000000003</v>
      </c>
    </row>
    <row r="690" spans="1:17" ht="26.25" customHeight="1" x14ac:dyDescent="0.2">
      <c r="A690" s="148" t="s">
        <v>724</v>
      </c>
      <c r="B690" s="149">
        <v>2.75</v>
      </c>
      <c r="C690" s="149">
        <v>1.6586258776328988</v>
      </c>
      <c r="D690" s="150">
        <f t="shared" si="8"/>
        <v>0</v>
      </c>
      <c r="E690" s="149">
        <f>4.95*0.55</f>
        <v>2.7225000000000001</v>
      </c>
      <c r="F690" s="149">
        <v>2.35</v>
      </c>
      <c r="G690" s="149">
        <v>2.13</v>
      </c>
      <c r="H690" s="149">
        <v>2.0099999999999998</v>
      </c>
      <c r="I690" s="149">
        <v>4.4800000000000004</v>
      </c>
      <c r="J690" s="151">
        <v>3.3464566929133857</v>
      </c>
      <c r="K690" s="151">
        <v>4.8917322834645676</v>
      </c>
      <c r="L690" s="149">
        <f>1.4322/0.45436</f>
        <v>3.1521260674355136</v>
      </c>
      <c r="M690" s="149">
        <f>3.3*0.55</f>
        <v>1.8149999999999999</v>
      </c>
      <c r="N690" s="149">
        <f>2.9*0.5</f>
        <v>1.45</v>
      </c>
      <c r="O690" s="149">
        <f>9.33*0.7338</f>
        <v>6.8463539999999998</v>
      </c>
      <c r="P690" s="149">
        <f>8.27*0.7338</f>
        <v>6.0685259999999994</v>
      </c>
      <c r="Q690" s="149">
        <f>5.736*0.6824</f>
        <v>3.9142463999999997</v>
      </c>
    </row>
    <row r="691" spans="1:17" ht="28.5" customHeight="1" x14ac:dyDescent="0.2">
      <c r="A691" s="148" t="s">
        <v>725</v>
      </c>
      <c r="B691" s="149">
        <v>2.78</v>
      </c>
      <c r="C691" s="149">
        <v>1.67</v>
      </c>
      <c r="D691" s="150">
        <f t="shared" si="8"/>
        <v>0</v>
      </c>
      <c r="E691" s="149">
        <f>5*0.55</f>
        <v>2.75</v>
      </c>
      <c r="F691" s="149">
        <v>2.39</v>
      </c>
      <c r="G691" s="149">
        <v>2.17</v>
      </c>
      <c r="H691" s="149">
        <v>2.08</v>
      </c>
      <c r="I691" s="149">
        <v>4.5790446027975715</v>
      </c>
      <c r="J691" s="151">
        <v>3.4639746634996045</v>
      </c>
      <c r="K691" s="151">
        <v>5.0673000791765643</v>
      </c>
      <c r="L691" s="149">
        <f>1.4061/0.45436</f>
        <v>3.0946826305132493</v>
      </c>
      <c r="M691" s="149">
        <f>3.35*0.55</f>
        <v>1.8425000000000002</v>
      </c>
      <c r="N691" s="149">
        <f>2.8*0.5</f>
        <v>1.4</v>
      </c>
      <c r="O691" s="149">
        <f>9.16*0.7324</f>
        <v>6.7087840000000005</v>
      </c>
      <c r="P691" s="149">
        <f>8.36*0.7324</f>
        <v>6.1228639999999999</v>
      </c>
      <c r="Q691" s="149">
        <f>5.736*0.6849</f>
        <v>3.9285863999999995</v>
      </c>
    </row>
    <row r="692" spans="1:17" ht="29.25" customHeight="1" x14ac:dyDescent="0.2">
      <c r="A692" s="148" t="s">
        <v>726</v>
      </c>
      <c r="B692" s="149">
        <v>2.8</v>
      </c>
      <c r="C692" s="149">
        <v>1.6672871287128714</v>
      </c>
      <c r="D692" s="150">
        <v>0</v>
      </c>
      <c r="E692" s="149">
        <v>2.7775000000000003</v>
      </c>
      <c r="F692" s="149">
        <v>2.41</v>
      </c>
      <c r="G692" s="149">
        <v>2.12</v>
      </c>
      <c r="H692" s="149">
        <v>2.08</v>
      </c>
      <c r="I692" s="149">
        <v>4.5</v>
      </c>
      <c r="J692" s="151">
        <v>3.4736006351726876</v>
      </c>
      <c r="K692" s="151">
        <v>4.9523620484319171</v>
      </c>
      <c r="L692" s="149">
        <f>1.383/0.45436</f>
        <v>3.0438418874900961</v>
      </c>
      <c r="M692" s="149">
        <v>1.8425000000000002</v>
      </c>
      <c r="N692" s="149">
        <v>1.4</v>
      </c>
      <c r="O692" s="149">
        <v>6.5530919999999995</v>
      </c>
      <c r="P692" s="149">
        <v>6.0712469999999996</v>
      </c>
      <c r="Q692" s="149">
        <v>3.9635759999999993</v>
      </c>
    </row>
    <row r="693" spans="1:17" ht="27.75" customHeight="1" x14ac:dyDescent="0.2">
      <c r="A693" s="148" t="s">
        <v>727</v>
      </c>
      <c r="B693" s="149">
        <v>2.82</v>
      </c>
      <c r="C693" s="149">
        <v>1.6526820866141734</v>
      </c>
      <c r="D693" s="150">
        <v>0</v>
      </c>
      <c r="E693" s="149">
        <f>5.08*0.55</f>
        <v>2.7940000000000005</v>
      </c>
      <c r="F693" s="149">
        <v>2.44</v>
      </c>
      <c r="G693" s="149">
        <v>2.25</v>
      </c>
      <c r="H693" s="149">
        <v>2.11</v>
      </c>
      <c r="I693" s="149">
        <v>4.82</v>
      </c>
      <c r="J693" s="151">
        <v>3.6687631027253671</v>
      </c>
      <c r="K693" s="151">
        <v>5.1048218029350112</v>
      </c>
      <c r="L693" s="149">
        <f>1.391/0.45436</f>
        <v>3.0614490712210585</v>
      </c>
      <c r="M693" s="149">
        <f>3.45*0.55</f>
        <v>1.8975000000000002</v>
      </c>
      <c r="N693" s="149">
        <f>2.9*0.5</f>
        <v>1.45</v>
      </c>
      <c r="O693" s="149">
        <f>8.96*0.7324</f>
        <v>6.562304000000001</v>
      </c>
      <c r="P693" s="149">
        <f>8.32*0.7324</f>
        <v>6.0935680000000003</v>
      </c>
      <c r="Q693" s="149">
        <f>5.696*0.696</f>
        <v>3.9644159999999995</v>
      </c>
    </row>
    <row r="694" spans="1:17" ht="26.25" customHeight="1" x14ac:dyDescent="0.2">
      <c r="A694" s="148" t="s">
        <v>728</v>
      </c>
      <c r="B694" s="149">
        <v>2.81</v>
      </c>
      <c r="C694" s="149">
        <v>1.676279296875</v>
      </c>
      <c r="D694" s="152">
        <v>0</v>
      </c>
      <c r="E694" s="149">
        <f>5.18*0.55</f>
        <v>2.8490000000000002</v>
      </c>
      <c r="F694" s="149">
        <v>2.4900000000000002</v>
      </c>
      <c r="G694" s="149">
        <v>2.3199999999999998</v>
      </c>
      <c r="H694" s="149">
        <v>2.1800000000000002</v>
      </c>
      <c r="I694" s="149">
        <v>4.5948827292110872</v>
      </c>
      <c r="J694" s="151">
        <v>3.7100213219616198</v>
      </c>
      <c r="K694" s="151">
        <v>5.0319829424307034</v>
      </c>
      <c r="L694" s="149">
        <f>1.3895/0.45436</f>
        <v>3.0581477242715027</v>
      </c>
      <c r="M694" s="149">
        <f>3.75*0.55</f>
        <v>2.0625</v>
      </c>
      <c r="N694" s="149">
        <f>3.15*0.5</f>
        <v>1.575</v>
      </c>
      <c r="O694" s="149">
        <f>8.14*0.749</f>
        <v>6.0968600000000004</v>
      </c>
      <c r="P694" s="149">
        <f>7.81*0.749</f>
        <v>5.8496899999999998</v>
      </c>
      <c r="Q694" s="149">
        <f>5.696*0.6908</f>
        <v>3.9347967999999995</v>
      </c>
    </row>
    <row r="695" spans="1:17" ht="24.75" customHeight="1" x14ac:dyDescent="0.2">
      <c r="A695" s="148" t="s">
        <v>729</v>
      </c>
      <c r="B695" s="149">
        <v>2.86</v>
      </c>
      <c r="C695" s="149">
        <v>1.65</v>
      </c>
      <c r="D695" s="152">
        <v>0</v>
      </c>
      <c r="E695" s="149">
        <f>5.28*0.55</f>
        <v>2.9040000000000004</v>
      </c>
      <c r="F695" s="149">
        <v>2.54</v>
      </c>
      <c r="G695" s="149">
        <v>2.36</v>
      </c>
      <c r="H695" s="149">
        <v>2.2000000000000002</v>
      </c>
      <c r="I695" s="149">
        <v>4.62</v>
      </c>
      <c r="J695" s="151">
        <v>3.675847457627119</v>
      </c>
      <c r="K695" s="151">
        <v>5.0000000000000009</v>
      </c>
      <c r="L695" s="149">
        <f>1.3932/0.45436</f>
        <v>3.066291046747073</v>
      </c>
      <c r="M695" s="149">
        <f>3.85*0.55</f>
        <v>2.1175000000000002</v>
      </c>
      <c r="N695" s="149">
        <f>3.35*0.5</f>
        <v>1.675</v>
      </c>
      <c r="O695" s="149">
        <f>8.83*0.7464</f>
        <v>6.5907119999999999</v>
      </c>
      <c r="P695" s="149">
        <f>7.91*0.7464</f>
        <v>5.9040239999999997</v>
      </c>
      <c r="Q695" s="149">
        <f>5.676*0.6857</f>
        <v>3.8920332000000002</v>
      </c>
    </row>
    <row r="696" spans="1:17" ht="26.25" customHeight="1" x14ac:dyDescent="0.2">
      <c r="A696" s="148" t="s">
        <v>730</v>
      </c>
      <c r="B696" s="149">
        <v>2.89</v>
      </c>
      <c r="C696" s="149">
        <v>1.69</v>
      </c>
      <c r="D696" s="152">
        <v>0</v>
      </c>
      <c r="E696" s="149">
        <f>5.4*0.55</f>
        <v>2.9700000000000006</v>
      </c>
      <c r="F696" s="149">
        <v>2.57</v>
      </c>
      <c r="G696" s="149">
        <v>2.35</v>
      </c>
      <c r="H696" s="149">
        <v>2.19</v>
      </c>
      <c r="I696" s="149">
        <v>4.78</v>
      </c>
      <c r="J696" s="151">
        <v>3.6491677336747763</v>
      </c>
      <c r="K696" s="151">
        <v>5.078958600085361</v>
      </c>
      <c r="L696" s="149">
        <f>1.3882/0.45436</f>
        <v>3.0552865569152217</v>
      </c>
      <c r="M696" s="149">
        <f>3.85*0.55</f>
        <v>2.1175000000000002</v>
      </c>
      <c r="N696" s="149">
        <f>3.35*0.5</f>
        <v>1.675</v>
      </c>
      <c r="O696" s="149">
        <f>7.75*0.741</f>
        <v>5.74275</v>
      </c>
      <c r="P696" s="149">
        <f>8.15*0.741</f>
        <v>6.0391500000000002</v>
      </c>
      <c r="Q696" s="149">
        <f>5.676*0.6798</f>
        <v>3.8585447999999998</v>
      </c>
    </row>
    <row r="697" spans="1:17" ht="26.25" customHeight="1" x14ac:dyDescent="0.2">
      <c r="A697" s="148" t="s">
        <v>731</v>
      </c>
      <c r="B697" s="149">
        <v>2.9</v>
      </c>
      <c r="C697" s="149">
        <v>1.6392870722433459</v>
      </c>
      <c r="D697" s="152">
        <v>0</v>
      </c>
      <c r="E697" s="149">
        <f>5.42*0.55</f>
        <v>2.9810000000000003</v>
      </c>
      <c r="F697" s="149">
        <v>2.57</v>
      </c>
      <c r="G697" s="149">
        <v>2.35</v>
      </c>
      <c r="H697" s="149">
        <v>2.19</v>
      </c>
      <c r="I697" s="149">
        <v>4.5999999999999996</v>
      </c>
      <c r="J697" s="151">
        <v>3.5833333333333335</v>
      </c>
      <c r="K697" s="151">
        <v>4.916666666666667</v>
      </c>
      <c r="L697" s="149">
        <f>1.4102/0.45436</f>
        <v>3.1037063121753676</v>
      </c>
      <c r="M697" s="149">
        <f>3.8*0.55</f>
        <v>2.09</v>
      </c>
      <c r="N697" s="149">
        <f>3.3*0.5</f>
        <v>1.65</v>
      </c>
      <c r="O697" s="149">
        <f>8.22*0.7242</f>
        <v>5.9529240000000003</v>
      </c>
      <c r="P697" s="149">
        <f>8.08*0.7242</f>
        <v>5.8515359999999994</v>
      </c>
      <c r="Q697" s="149">
        <f>5.676*0.6629</f>
        <v>3.7626204000000003</v>
      </c>
    </row>
    <row r="698" spans="1:17" ht="24" customHeight="1" x14ac:dyDescent="0.2">
      <c r="A698" s="148" t="s">
        <v>732</v>
      </c>
      <c r="B698" s="149">
        <v>2.89</v>
      </c>
      <c r="C698" s="149">
        <v>1.647</v>
      </c>
      <c r="D698" s="152">
        <v>0</v>
      </c>
      <c r="E698" s="149">
        <f>5.48*0.55</f>
        <v>3.0140000000000007</v>
      </c>
      <c r="F698" s="149">
        <v>2.59</v>
      </c>
      <c r="G698" s="149">
        <v>2.21</v>
      </c>
      <c r="H698" s="149">
        <v>2.0499999999999998</v>
      </c>
      <c r="I698" s="149">
        <v>4.49</v>
      </c>
      <c r="J698" s="151">
        <v>3.4141414141414139</v>
      </c>
      <c r="K698" s="151">
        <v>4.737373737373737</v>
      </c>
      <c r="L698" s="149">
        <f>1.4302/0.45436</f>
        <v>3.1477242715027729</v>
      </c>
      <c r="M698" s="149">
        <f>3.8*0.55</f>
        <v>2.09</v>
      </c>
      <c r="N698" s="149">
        <f>3.3*0.5</f>
        <v>1.65</v>
      </c>
      <c r="O698" s="149">
        <f>7.76*0.7156</f>
        <v>5.5530559999999998</v>
      </c>
      <c r="P698" s="149">
        <f>8.45*0.7156</f>
        <v>6.0468199999999994</v>
      </c>
      <c r="Q698" s="149">
        <f>5.676*0.6522</f>
        <v>3.7018872000000003</v>
      </c>
    </row>
    <row r="699" spans="1:17" ht="21.75" customHeight="1" x14ac:dyDescent="0.2">
      <c r="A699" s="148" t="s">
        <v>733</v>
      </c>
      <c r="B699" s="149">
        <v>2.89</v>
      </c>
      <c r="C699" s="153">
        <v>1.6442063492063492</v>
      </c>
      <c r="D699" s="152">
        <v>0</v>
      </c>
      <c r="E699" s="149">
        <f>5.5*0.55</f>
        <v>3.0250000000000004</v>
      </c>
      <c r="F699" s="149">
        <v>2.6</v>
      </c>
      <c r="G699" s="149">
        <v>2.23</v>
      </c>
      <c r="H699" s="149">
        <v>2.0699999999999998</v>
      </c>
      <c r="I699" s="149">
        <v>4.34</v>
      </c>
      <c r="J699" s="151">
        <v>3.326771653543307</v>
      </c>
      <c r="K699" s="151">
        <v>4.7047244094488185</v>
      </c>
      <c r="L699" s="149">
        <f>1.4334/0.45436</f>
        <v>3.1547671449951582</v>
      </c>
      <c r="M699" s="149">
        <f>3.8*0.55</f>
        <v>2.09</v>
      </c>
      <c r="N699" s="149">
        <f>3.3*0.5</f>
        <v>1.65</v>
      </c>
      <c r="O699" s="149">
        <f>9.02*0.7092</f>
        <v>6.3969839999999998</v>
      </c>
      <c r="P699" s="149">
        <f>8.43*0.7092</f>
        <v>5.9785560000000002</v>
      </c>
      <c r="Q699" s="149">
        <f>5.716*0.642</f>
        <v>3.6696720000000003</v>
      </c>
    </row>
    <row r="700" spans="1:17" ht="22.5" customHeight="1" x14ac:dyDescent="0.2">
      <c r="A700" s="148" t="s">
        <v>734</v>
      </c>
      <c r="B700" s="149">
        <v>2.89</v>
      </c>
      <c r="C700" s="153">
        <v>1.5722987974098059</v>
      </c>
      <c r="D700" s="152">
        <v>0</v>
      </c>
      <c r="E700" s="149">
        <f>5.5*0.55</f>
        <v>3.0250000000000004</v>
      </c>
      <c r="F700" s="149">
        <v>2.6</v>
      </c>
      <c r="G700" s="149">
        <v>2.15</v>
      </c>
      <c r="H700" s="149">
        <v>2</v>
      </c>
      <c r="I700" s="149">
        <v>4.29</v>
      </c>
      <c r="J700" s="151">
        <v>3.349802371541502</v>
      </c>
      <c r="K700" s="151">
        <v>4.7233201581027666</v>
      </c>
      <c r="L700" s="149">
        <f>1.4342/0.45436</f>
        <v>3.1565278633682543</v>
      </c>
      <c r="M700" s="149">
        <f>3.7*0.55</f>
        <v>2.0350000000000001</v>
      </c>
      <c r="N700" s="149">
        <f>3.2*0.5</f>
        <v>1.6</v>
      </c>
      <c r="O700" s="149">
        <f>8.81*0.6902</f>
        <v>6.0806620000000002</v>
      </c>
      <c r="P700" s="149">
        <f>8.45*0.6902</f>
        <v>5.8321899999999998</v>
      </c>
      <c r="Q700" s="149">
        <f>5.776*0.625</f>
        <v>3.61</v>
      </c>
    </row>
    <row r="701" spans="1:17" ht="22.5" customHeight="1" x14ac:dyDescent="0.2">
      <c r="A701" s="148" t="s">
        <v>735</v>
      </c>
      <c r="B701" s="149">
        <v>2.89</v>
      </c>
      <c r="C701" s="153">
        <v>1.51</v>
      </c>
      <c r="D701" s="152">
        <v>0</v>
      </c>
      <c r="E701" s="149">
        <f>5.3*0.55</f>
        <v>2.915</v>
      </c>
      <c r="F701" s="149">
        <v>2.5499999999999998</v>
      </c>
      <c r="G701" s="149">
        <v>2.25</v>
      </c>
      <c r="H701" s="149">
        <v>2.0699999999999998</v>
      </c>
      <c r="I701" s="149">
        <v>4.04</v>
      </c>
      <c r="J701" s="151">
        <v>3.1553398058252426</v>
      </c>
      <c r="K701" s="151">
        <v>4.5242718446601939</v>
      </c>
      <c r="L701" s="149">
        <f>1.4244/0.45436</f>
        <v>3.1349590632978259</v>
      </c>
      <c r="M701" s="149">
        <f>3.6*0.55</f>
        <v>1.9800000000000002</v>
      </c>
      <c r="N701" s="149">
        <f>3.2*0.5</f>
        <v>1.6</v>
      </c>
      <c r="O701" s="149">
        <f>8.76*0.7023</f>
        <v>6.1521480000000004</v>
      </c>
      <c r="P701" s="149">
        <f>8.04*0.7023</f>
        <v>5.6464919999999994</v>
      </c>
      <c r="Q701" s="149">
        <f>5.776*0.6383</f>
        <v>3.6868207999999996</v>
      </c>
    </row>
    <row r="702" spans="1:17" ht="21.75" customHeight="1" x14ac:dyDescent="0.2">
      <c r="A702" s="148" t="s">
        <v>736</v>
      </c>
      <c r="B702" s="149">
        <v>2.88</v>
      </c>
      <c r="C702" s="153">
        <v>1.46</v>
      </c>
      <c r="D702" s="152"/>
      <c r="E702" s="149">
        <f>5.28*0.55</f>
        <v>2.9040000000000004</v>
      </c>
      <c r="F702" s="149">
        <v>2.5099999999999998</v>
      </c>
      <c r="G702" s="149">
        <v>2.2799999999999998</v>
      </c>
      <c r="H702" s="149">
        <v>2.13</v>
      </c>
      <c r="I702" s="149">
        <v>4.493274174237623</v>
      </c>
      <c r="J702" s="151">
        <v>3.3699556306782168</v>
      </c>
      <c r="K702" s="151">
        <v>4.9123177688569619</v>
      </c>
      <c r="L702" s="149">
        <f>1.4025/0.45436</f>
        <v>3.0867593978343169</v>
      </c>
      <c r="M702" s="149">
        <f>3.6*0.55</f>
        <v>1.9800000000000002</v>
      </c>
      <c r="N702" s="149">
        <f>3.2*0.5</f>
        <v>1.6</v>
      </c>
      <c r="O702" s="149">
        <f>8.92*0.7151</f>
        <v>6.3786919999999991</v>
      </c>
      <c r="P702" s="149">
        <f>8.31*0.7151</f>
        <v>5.9424809999999999</v>
      </c>
      <c r="Q702" s="149">
        <f>5.816*0.6529</f>
        <v>3.7972664000000003</v>
      </c>
    </row>
    <row r="703" spans="1:17" ht="24.75" customHeight="1" x14ac:dyDescent="0.2">
      <c r="A703" s="148" t="s">
        <v>737</v>
      </c>
      <c r="B703" s="149">
        <v>2.84</v>
      </c>
      <c r="C703" s="153">
        <v>1.51</v>
      </c>
      <c r="D703" s="152"/>
      <c r="E703" s="149">
        <f>5.2*0.55</f>
        <v>2.8600000000000003</v>
      </c>
      <c r="F703" s="149">
        <v>2.5099999999999998</v>
      </c>
      <c r="G703" s="149">
        <v>2.29</v>
      </c>
      <c r="H703" s="149">
        <v>2.16</v>
      </c>
      <c r="I703" s="149">
        <v>4.3099999999999996</v>
      </c>
      <c r="J703" s="151">
        <v>3.3507306889352821</v>
      </c>
      <c r="K703" s="151">
        <v>4.5302713987473906</v>
      </c>
      <c r="L703" s="149">
        <f>1.3907/0.45436</f>
        <v>3.0607888018311473</v>
      </c>
      <c r="M703" s="149">
        <f>3.55*0.55</f>
        <v>1.9525000000000001</v>
      </c>
      <c r="N703" s="149">
        <f>3.1*0.5</f>
        <v>1.55</v>
      </c>
      <c r="O703" s="149">
        <f>8.78*0.7222</f>
        <v>6.3409159999999991</v>
      </c>
      <c r="P703" s="149">
        <f>8.21*0.7222</f>
        <v>5.9292620000000005</v>
      </c>
      <c r="Q703" s="149">
        <f>5.856*0.6516</f>
        <v>3.8157695999999999</v>
      </c>
    </row>
    <row r="704" spans="1:17" ht="22.5" customHeight="1" x14ac:dyDescent="0.2">
      <c r="A704" s="148" t="s">
        <v>738</v>
      </c>
      <c r="B704" s="149">
        <v>2.8</v>
      </c>
      <c r="C704" s="153">
        <v>1.46</v>
      </c>
      <c r="D704" s="152"/>
      <c r="E704" s="149">
        <f>5.2*0.55</f>
        <v>2.8600000000000003</v>
      </c>
      <c r="F704" s="149">
        <v>2.52</v>
      </c>
      <c r="G704" s="149">
        <v>2.1800000000000002</v>
      </c>
      <c r="H704" s="149">
        <v>2.0699999999999998</v>
      </c>
      <c r="I704" s="149">
        <v>4.1399999999999997</v>
      </c>
      <c r="J704" s="151">
        <v>3.2164328657314631</v>
      </c>
      <c r="K704" s="151">
        <v>4.3787575150300606</v>
      </c>
      <c r="L704" s="149">
        <f>1.3807/0.45436</f>
        <v>3.0387798221674447</v>
      </c>
      <c r="M704" s="149">
        <f>3.55*0.55</f>
        <v>1.9525000000000001</v>
      </c>
      <c r="N704" s="149">
        <f>3.1*0.5</f>
        <v>1.55</v>
      </c>
      <c r="O704" s="149">
        <f>8.85*0.709</f>
        <v>6.2746499999999994</v>
      </c>
      <c r="P704" s="149">
        <f>8.31*0.709</f>
        <v>5.8917900000000003</v>
      </c>
      <c r="Q704" s="149">
        <f>5.856*0.639</f>
        <v>3.741984</v>
      </c>
    </row>
    <row r="705" spans="1:19" ht="22.5" customHeight="1" x14ac:dyDescent="0.2">
      <c r="A705" s="148" t="s">
        <v>739</v>
      </c>
      <c r="B705" s="149">
        <v>2.7</v>
      </c>
      <c r="C705" s="153">
        <v>1.35</v>
      </c>
      <c r="D705" s="152"/>
      <c r="E705" s="149">
        <f>5.35*0.55</f>
        <v>2.9424999999999999</v>
      </c>
      <c r="F705" s="149">
        <v>2.57</v>
      </c>
      <c r="G705" s="149">
        <v>2.08</v>
      </c>
      <c r="H705" s="149">
        <v>1.97</v>
      </c>
      <c r="I705" s="149">
        <v>4.21</v>
      </c>
      <c r="J705" s="151">
        <v>3.3034825870646767</v>
      </c>
      <c r="K705" s="151">
        <v>4.5870646766169152</v>
      </c>
      <c r="L705" s="149">
        <f>1.4014/0.45436</f>
        <v>3.0843384100713092</v>
      </c>
      <c r="M705" s="149">
        <f>3.55*0.55</f>
        <v>1.9525000000000001</v>
      </c>
      <c r="N705" s="149">
        <f>3*0.5</f>
        <v>1.5</v>
      </c>
      <c r="O705" s="149">
        <f>8.84*0.705</f>
        <v>6.2321999999999997</v>
      </c>
      <c r="P705" s="149">
        <f>8.48*0.705</f>
        <v>5.9783999999999997</v>
      </c>
      <c r="Q705" s="149">
        <f>5.87*0.6365</f>
        <v>3.7362549999999999</v>
      </c>
    </row>
    <row r="706" spans="1:19" ht="26.25" customHeight="1" x14ac:dyDescent="0.2">
      <c r="A706" s="148" t="s">
        <v>740</v>
      </c>
      <c r="B706" s="149">
        <v>2.7</v>
      </c>
      <c r="C706" s="153">
        <v>1.3682414698162728</v>
      </c>
      <c r="D706" s="152"/>
      <c r="E706" s="149">
        <f>5.4*0.55</f>
        <v>2.9700000000000006</v>
      </c>
      <c r="F706" s="149">
        <v>2.62</v>
      </c>
      <c r="G706" s="149">
        <v>2.11</v>
      </c>
      <c r="H706" s="149">
        <v>1.98</v>
      </c>
      <c r="I706" s="149">
        <v>4.0999999999999996</v>
      </c>
      <c r="J706" s="151">
        <v>3.3492366412213741</v>
      </c>
      <c r="K706" s="151">
        <v>4.3511450381679388</v>
      </c>
      <c r="L706" s="149">
        <f>1.4367/0.45436</f>
        <v>3.1620301082841804</v>
      </c>
      <c r="M706" s="149">
        <f>3.55*0.55</f>
        <v>1.9525000000000001</v>
      </c>
      <c r="N706" s="149">
        <f>3*0.5</f>
        <v>1.5</v>
      </c>
      <c r="O706" s="149">
        <f>8.55*0.6916</f>
        <v>5.9131800000000005</v>
      </c>
      <c r="P706" s="149">
        <f>8.42*0.6916</f>
        <v>5.8232720000000002</v>
      </c>
      <c r="Q706" s="149">
        <f>5.9*0.6298</f>
        <v>3.7158200000000003</v>
      </c>
    </row>
    <row r="707" spans="1:19" ht="24" customHeight="1" x14ac:dyDescent="0.2">
      <c r="A707" s="148" t="s">
        <v>741</v>
      </c>
      <c r="B707" s="149">
        <v>2.6</v>
      </c>
      <c r="C707" s="153">
        <v>1.3695674740484429</v>
      </c>
      <c r="D707" s="152"/>
      <c r="E707" s="149">
        <f>5.4*0.55</f>
        <v>2.9700000000000006</v>
      </c>
      <c r="F707" s="149">
        <v>2.62</v>
      </c>
      <c r="G707" s="149">
        <v>2.06</v>
      </c>
      <c r="H707" s="149">
        <v>1.95</v>
      </c>
      <c r="I707" s="149">
        <v>3.9427533508706003</v>
      </c>
      <c r="J707" s="151">
        <v>3.4009770762871105</v>
      </c>
      <c r="K707" s="151">
        <v>4.1901540774145056</v>
      </c>
      <c r="L707" s="149">
        <f>1.4455/0.45436</f>
        <v>3.1813980103882384</v>
      </c>
      <c r="M707" s="149">
        <f>3.7*0.55</f>
        <v>2.0350000000000001</v>
      </c>
      <c r="N707" s="149">
        <f>3.15*0.5</f>
        <v>1.575</v>
      </c>
      <c r="O707" s="149">
        <f>8.01*0.6816</f>
        <v>5.4596159999999996</v>
      </c>
      <c r="P707" s="149">
        <f>7.98*0.6816</f>
        <v>5.4391680000000004</v>
      </c>
      <c r="Q707" s="149">
        <f>5.896*0.6206</f>
        <v>3.6590576000000001</v>
      </c>
    </row>
    <row r="708" spans="1:19" ht="27" customHeight="1" x14ac:dyDescent="0.2">
      <c r="A708" s="148" t="s">
        <v>742</v>
      </c>
      <c r="B708" s="149">
        <v>2.6</v>
      </c>
      <c r="C708" s="153">
        <v>1.38</v>
      </c>
      <c r="D708" s="152"/>
      <c r="E708" s="149">
        <f>5.05*0.55</f>
        <v>2.7775000000000003</v>
      </c>
      <c r="F708" s="149">
        <v>2.4300000000000002</v>
      </c>
      <c r="G708" s="149">
        <v>2</v>
      </c>
      <c r="H708" s="149">
        <v>1.9</v>
      </c>
      <c r="I708" s="149">
        <v>4.1100000000000003</v>
      </c>
      <c r="J708" s="151">
        <v>3.399810066476733</v>
      </c>
      <c r="K708" s="151">
        <v>4.2830009496676169</v>
      </c>
      <c r="L708" s="149">
        <f>1.4616/0.45436</f>
        <v>3.2168324676468001</v>
      </c>
      <c r="M708" s="149">
        <f>3.72*0.55</f>
        <v>2.0460000000000003</v>
      </c>
      <c r="N708" s="149">
        <f>3.15*0.5</f>
        <v>1.575</v>
      </c>
      <c r="O708" s="149">
        <f>7.99*0.6849</f>
        <v>5.4723509999999997</v>
      </c>
      <c r="P708" s="149">
        <f>8.35*0.6849</f>
        <v>5.7189149999999991</v>
      </c>
      <c r="Q708" s="149">
        <f>5.996*0.6185</f>
        <v>3.7085260000000004</v>
      </c>
    </row>
    <row r="709" spans="1:19" ht="22.5" customHeight="1" x14ac:dyDescent="0.2">
      <c r="A709" s="148" t="s">
        <v>743</v>
      </c>
      <c r="B709" s="149">
        <v>2.59</v>
      </c>
      <c r="C709" s="153">
        <v>1.401</v>
      </c>
      <c r="D709" s="152"/>
      <c r="E709" s="149">
        <f>5*0.55</f>
        <v>2.75</v>
      </c>
      <c r="F709" s="149">
        <v>2.42</v>
      </c>
      <c r="G709" s="149">
        <v>1.99</v>
      </c>
      <c r="H709" s="149">
        <v>1.87</v>
      </c>
      <c r="I709" s="149">
        <v>4</v>
      </c>
      <c r="J709" s="151">
        <v>3.2222222222222219</v>
      </c>
      <c r="K709" s="151">
        <v>4.1481481481481479</v>
      </c>
      <c r="L709" s="149">
        <f>1.4435/0.45436</f>
        <v>3.1769962144554977</v>
      </c>
      <c r="M709" s="149">
        <f>3.72*0.55</f>
        <v>2.0460000000000003</v>
      </c>
      <c r="N709" s="149">
        <f>3.15*0.5</f>
        <v>1.575</v>
      </c>
      <c r="O709" s="149">
        <f>7.41*0.6789</f>
        <v>5.0306489999999995</v>
      </c>
      <c r="P709" s="149">
        <f>7.11*0.6789</f>
        <v>4.8269789999999997</v>
      </c>
      <c r="Q709" s="149">
        <f>6.036*0.616</f>
        <v>3.7181759999999997</v>
      </c>
    </row>
    <row r="710" spans="1:19" ht="24.75" customHeight="1" x14ac:dyDescent="0.2">
      <c r="A710" s="148" t="s">
        <v>744</v>
      </c>
      <c r="B710" s="149">
        <v>2.59</v>
      </c>
      <c r="C710" s="153">
        <v>1.38</v>
      </c>
      <c r="D710" s="152"/>
      <c r="E710" s="149">
        <f>4.95*0.55</f>
        <v>2.7225000000000001</v>
      </c>
      <c r="F710" s="149">
        <v>2.42</v>
      </c>
      <c r="G710" s="149">
        <v>1.98</v>
      </c>
      <c r="H710" s="149">
        <v>1.88</v>
      </c>
      <c r="I710" s="149">
        <v>3.8930370909973897</v>
      </c>
      <c r="J710" s="151">
        <v>3.0595519941722822</v>
      </c>
      <c r="K710" s="151">
        <v>3.9974503733381899</v>
      </c>
      <c r="L710" s="149">
        <f>1.4212/0.45436</f>
        <v>3.1279161898054406</v>
      </c>
      <c r="M710" s="149">
        <f>3.7*0.55</f>
        <v>2.0350000000000001</v>
      </c>
      <c r="N710" s="149">
        <f>3.15*0.5</f>
        <v>1.575</v>
      </c>
      <c r="O710" s="149">
        <f>8.21*0.6911</f>
        <v>5.6739310000000014</v>
      </c>
      <c r="P710" s="149">
        <f>7.46*0.6911</f>
        <v>5.1556060000000006</v>
      </c>
      <c r="Q710" s="149">
        <f>6.036*0.6239</f>
        <v>3.7658603999999998</v>
      </c>
    </row>
    <row r="711" spans="1:19" ht="24.75" customHeight="1" x14ac:dyDescent="0.2">
      <c r="A711" s="148" t="s">
        <v>745</v>
      </c>
      <c r="B711" s="149">
        <v>2.58</v>
      </c>
      <c r="C711" s="153">
        <v>1.4355041322314053</v>
      </c>
      <c r="D711" s="152"/>
      <c r="E711" s="149">
        <f>4.95*0.55</f>
        <v>2.7225000000000001</v>
      </c>
      <c r="F711" s="149">
        <v>2.42</v>
      </c>
      <c r="G711" s="149">
        <v>2.0299999999999998</v>
      </c>
      <c r="H711" s="149">
        <v>1.9</v>
      </c>
      <c r="I711" s="149">
        <v>4.1500000000000004</v>
      </c>
      <c r="J711" s="151">
        <v>3.1057692307692304</v>
      </c>
      <c r="K711" s="151">
        <v>4.2211538461538458</v>
      </c>
      <c r="L711" s="149">
        <f>1.4112/0.45436</f>
        <v>3.105907210141738</v>
      </c>
      <c r="M711" s="149">
        <f>3.55*0.55</f>
        <v>1.9525000000000001</v>
      </c>
      <c r="N711" s="149">
        <f>3*0.5</f>
        <v>1.5</v>
      </c>
      <c r="O711" s="149">
        <f>6.95*0.6986</f>
        <v>4.85527</v>
      </c>
      <c r="P711" s="149">
        <f>7.02*0.6986</f>
        <v>4.904172</v>
      </c>
      <c r="Q711" s="149">
        <f>6.056*0.623983</f>
        <v>3.7788410479999999</v>
      </c>
    </row>
    <row r="712" spans="1:19" ht="22.5" customHeight="1" x14ac:dyDescent="0.2">
      <c r="A712" s="148" t="s">
        <v>746</v>
      </c>
      <c r="B712" s="149">
        <v>2.5499999999999998</v>
      </c>
      <c r="C712" s="153">
        <v>1.5456500408830747</v>
      </c>
      <c r="D712" s="152"/>
      <c r="E712" s="149">
        <f>4.9*0.55</f>
        <v>2.6950000000000003</v>
      </c>
      <c r="F712" s="149">
        <v>2.4</v>
      </c>
      <c r="G712" s="149">
        <v>2.0699999999999998</v>
      </c>
      <c r="H712" s="149">
        <v>1.93</v>
      </c>
      <c r="I712" s="149">
        <v>3.85</v>
      </c>
      <c r="J712" s="151">
        <v>3.2499999999999996</v>
      </c>
      <c r="K712" s="151">
        <v>4.25</v>
      </c>
      <c r="L712" s="149">
        <f>1.3983/0.45436</f>
        <v>3.0775156263755616</v>
      </c>
      <c r="M712" s="149">
        <f>3.65*0.55</f>
        <v>2.0075000000000003</v>
      </c>
      <c r="N712" s="149">
        <f>3.1*0.5</f>
        <v>1.55</v>
      </c>
      <c r="O712" s="149">
        <f>7.6*0.6908</f>
        <v>5.2500799999999996</v>
      </c>
      <c r="P712" s="149">
        <f>7.69*0.6908</f>
        <v>5.312252</v>
      </c>
      <c r="Q712" s="149">
        <f>6.076*0.6238</f>
        <v>3.7902087999999998</v>
      </c>
    </row>
    <row r="713" spans="1:19" ht="26.25" customHeight="1" x14ac:dyDescent="0.2">
      <c r="A713" s="148" t="s">
        <v>747</v>
      </c>
      <c r="B713" s="149">
        <v>2.54</v>
      </c>
      <c r="C713" s="153">
        <v>1.71</v>
      </c>
      <c r="D713" s="152"/>
      <c r="E713" s="149">
        <f>4.9*0.55</f>
        <v>2.6950000000000003</v>
      </c>
      <c r="F713" s="149">
        <v>2.4</v>
      </c>
      <c r="G713" s="149">
        <v>2.13</v>
      </c>
      <c r="H713" s="149">
        <v>1.94</v>
      </c>
      <c r="I713" s="149">
        <v>4.01</v>
      </c>
      <c r="J713" s="151">
        <v>3.3530571992110452</v>
      </c>
      <c r="K713" s="151">
        <v>4.3096646942800794</v>
      </c>
      <c r="L713" s="149">
        <f>1.4084/0.45436</f>
        <v>3.0997446958359012</v>
      </c>
      <c r="M713" s="149">
        <f>3.5*0.55</f>
        <v>1.9250000000000003</v>
      </c>
      <c r="N713" s="149">
        <f>3*0.5</f>
        <v>1.5</v>
      </c>
      <c r="O713" s="149">
        <f>6.8*0.7122</f>
        <v>4.8429600000000006</v>
      </c>
      <c r="P713" s="149">
        <f>7.89*0.7122</f>
        <v>5.6192580000000003</v>
      </c>
      <c r="Q713" s="149">
        <f>6.196*0.6454</f>
        <v>3.9988983999999999</v>
      </c>
    </row>
    <row r="714" spans="1:19" ht="25.5" customHeight="1" x14ac:dyDescent="0.2">
      <c r="A714" s="148" t="s">
        <v>748</v>
      </c>
      <c r="B714" s="149">
        <v>2.5</v>
      </c>
      <c r="C714" s="153">
        <v>1.6639999999999999</v>
      </c>
      <c r="D714" s="152"/>
      <c r="E714" s="149">
        <f>4.9*0.55</f>
        <v>2.6950000000000003</v>
      </c>
      <c r="F714" s="149">
        <v>2.4</v>
      </c>
      <c r="G714" s="149">
        <v>2.11</v>
      </c>
      <c r="H714" s="149">
        <v>1.91</v>
      </c>
      <c r="I714" s="149">
        <v>4.0999999999999996</v>
      </c>
      <c r="J714" s="151">
        <v>3.2270531400966185</v>
      </c>
      <c r="K714" s="151">
        <v>4.0966183574879231</v>
      </c>
      <c r="L714" s="149">
        <f>1.4439/0.45436</f>
        <v>3.1778765736420458</v>
      </c>
      <c r="M714" s="149">
        <f>3.55*0.55</f>
        <v>1.9525000000000001</v>
      </c>
      <c r="N714" s="149">
        <f t="shared" ref="N714:N715" si="9">3*0.5</f>
        <v>1.5</v>
      </c>
      <c r="O714" s="149">
        <f>6.93*0.687</f>
        <v>4.76091</v>
      </c>
      <c r="P714" s="149">
        <f>8.56*0.687</f>
        <v>5.8807200000000011</v>
      </c>
      <c r="Q714" s="149" t="s">
        <v>752</v>
      </c>
    </row>
    <row r="715" spans="1:19" s="155" customFormat="1" ht="25.5" customHeight="1" x14ac:dyDescent="0.2">
      <c r="A715" s="148" t="s">
        <v>749</v>
      </c>
      <c r="B715" s="149">
        <v>2.46</v>
      </c>
      <c r="C715" s="153">
        <v>1.6579999999999999</v>
      </c>
      <c r="D715" s="152"/>
      <c r="E715" s="149">
        <f t="shared" ref="E715:E717" si="10">5*0.55</f>
        <v>2.75</v>
      </c>
      <c r="F715" s="149">
        <v>2.4</v>
      </c>
      <c r="G715" s="149">
        <v>2.11</v>
      </c>
      <c r="H715" s="149">
        <v>1.97</v>
      </c>
      <c r="I715" s="149">
        <v>4.25</v>
      </c>
      <c r="J715" s="151">
        <v>3.2321639731966889</v>
      </c>
      <c r="K715" s="151">
        <v>4.0796216003153329</v>
      </c>
      <c r="L715" s="149">
        <f>1.4688/0.45436</f>
        <v>3.2326789330046664</v>
      </c>
      <c r="M715" s="149">
        <f t="shared" ref="M715" si="11">3.5*0.55</f>
        <v>1.9250000000000003</v>
      </c>
      <c r="N715" s="149">
        <f t="shared" si="9"/>
        <v>1.5</v>
      </c>
      <c r="O715" s="149">
        <f>8.58*0.6924</f>
        <v>5.9407920000000001</v>
      </c>
      <c r="P715" s="149">
        <f>8*0.6924</f>
        <v>5.5392000000000001</v>
      </c>
      <c r="Q715" s="149" t="s">
        <v>752</v>
      </c>
      <c r="R715" s="146"/>
      <c r="S715" s="154"/>
    </row>
    <row r="716" spans="1:19" ht="25.5" customHeight="1" x14ac:dyDescent="0.2">
      <c r="A716" s="148" t="s">
        <v>750</v>
      </c>
      <c r="B716" s="149">
        <v>2.4500000000000002</v>
      </c>
      <c r="C716" s="153">
        <v>1.65</v>
      </c>
      <c r="D716" s="152"/>
      <c r="E716" s="149">
        <f>4.85*0.55</f>
        <v>2.6675</v>
      </c>
      <c r="F716" s="149">
        <v>2.35</v>
      </c>
      <c r="G716" s="149">
        <v>2.02</v>
      </c>
      <c r="H716" s="149">
        <v>1.83</v>
      </c>
      <c r="I716" s="149">
        <v>4.01</v>
      </c>
      <c r="J716" s="151">
        <v>3.1327602674307542</v>
      </c>
      <c r="K716" s="151">
        <v>3.9350525310410696</v>
      </c>
      <c r="L716" s="149">
        <f>1.4479/0.45436</f>
        <v>3.1866801655075272</v>
      </c>
      <c r="M716" s="149">
        <f>3.8*0.55</f>
        <v>2.09</v>
      </c>
      <c r="N716" s="149">
        <f>3.2*0.5</f>
        <v>1.6</v>
      </c>
      <c r="O716" s="149">
        <f>8.73*0.6843</f>
        <v>5.9739390000000006</v>
      </c>
      <c r="P716" s="149">
        <f>8.29*0.6843</f>
        <v>5.672847</v>
      </c>
      <c r="Q716" s="149" t="s">
        <v>752</v>
      </c>
    </row>
    <row r="717" spans="1:19" ht="25.5" customHeight="1" x14ac:dyDescent="0.2">
      <c r="A717" s="148" t="s">
        <v>751</v>
      </c>
      <c r="B717" s="149">
        <v>2.4300000000000002</v>
      </c>
      <c r="C717" s="153">
        <v>1.63</v>
      </c>
      <c r="D717" s="152"/>
      <c r="E717" s="149">
        <f>4.8*0.55</f>
        <v>2.64</v>
      </c>
      <c r="F717" s="149">
        <v>2.2799999999999998</v>
      </c>
      <c r="G717" s="149">
        <v>1.95</v>
      </c>
      <c r="H717" s="149">
        <v>1.76</v>
      </c>
      <c r="I717" s="149">
        <v>3.78</v>
      </c>
      <c r="J717" s="151">
        <v>3.1879844961240309</v>
      </c>
      <c r="K717" s="151">
        <v>4.079457364341085</v>
      </c>
      <c r="L717" s="149">
        <f>1.4288/0.45436</f>
        <v>3.1446430143498549</v>
      </c>
      <c r="M717" s="149">
        <f>3.9*0.55</f>
        <v>2.145</v>
      </c>
      <c r="N717" s="149">
        <v>3.3</v>
      </c>
      <c r="O717" s="149">
        <f>8.11*0.6843</f>
        <v>5.5496729999999994</v>
      </c>
      <c r="P717" s="149">
        <f>8.24*0.6843</f>
        <v>5.6386320000000003</v>
      </c>
      <c r="Q717" s="149">
        <f>6.35*0.6016</f>
        <v>3.82016</v>
      </c>
    </row>
    <row r="718" spans="1:19" x14ac:dyDescent="0.2">
      <c r="B718" s="156"/>
    </row>
    <row r="720" spans="1:19" x14ac:dyDescent="0.2">
      <c r="P720" s="156"/>
    </row>
  </sheetData>
  <mergeCells count="4">
    <mergeCell ref="B2:C2"/>
    <mergeCell ref="A2:A4"/>
    <mergeCell ref="D2:F2"/>
    <mergeCell ref="E4:F4"/>
  </mergeCells>
  <phoneticPr fontId="6" type="noConversion"/>
  <pageMargins left="0.57999999999999996" right="0.2" top="0.33" bottom="0.43" header="0" footer="0"/>
  <pageSetup paperSize="9" scale="6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7" sqref="B7"/>
    </sheetView>
  </sheetViews>
  <sheetFormatPr baseColWidth="10" defaultRowHeight="12.75" x14ac:dyDescent="0.2"/>
  <sheetData/>
  <phoneticPr fontId="6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6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Hoja1</vt:lpstr>
      <vt:lpstr>Hoja2</vt:lpstr>
      <vt:lpstr>Hoja3</vt:lpstr>
      <vt:lpstr>Gráfico2</vt:lpstr>
      <vt:lpstr>Gráfico1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2017-07-17T17:20:54Z</cp:lastPrinted>
  <dcterms:created xsi:type="dcterms:W3CDTF">2010-03-11T17:55:30Z</dcterms:created>
  <dcterms:modified xsi:type="dcterms:W3CDTF">2022-09-14T15:53:00Z</dcterms:modified>
</cp:coreProperties>
</file>